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Input" sheetId="3" r:id="rId3"/>
    <sheet name="Details" sheetId="4" r:id="rId4"/>
  </sheets>
  <definedNames>
    <definedName name="\A">#REF!</definedName>
    <definedName name="\B">#REF!</definedName>
    <definedName name="\C" localSheetId="0">#REF!</definedName>
    <definedName name="\C">#N/A</definedName>
    <definedName name="\D" localSheetId="0">#REF!</definedName>
    <definedName name="\D">#N/A</definedName>
    <definedName name="\E">#REF!</definedName>
    <definedName name="\F">#REF!</definedName>
    <definedName name="\H" localSheetId="0">#REF!</definedName>
    <definedName name="\H">#N/A</definedName>
    <definedName name="\I" localSheetId="0">#REF!</definedName>
    <definedName name="\I">#N/A</definedName>
    <definedName name="\K" localSheetId="0">#N/A</definedName>
    <definedName name="\K">#N/A</definedName>
    <definedName name="\L">#REF!</definedName>
    <definedName name="\N" localSheetId="0">#REF!</definedName>
    <definedName name="\N">#N/A</definedName>
    <definedName name="\O">#REF!</definedName>
    <definedName name="\P" localSheetId="0">#N/A</definedName>
    <definedName name="\P">#N/A</definedName>
    <definedName name="\R">#REF!</definedName>
    <definedName name="\S" localSheetId="0">#REF!</definedName>
    <definedName name="\S">#N/A</definedName>
    <definedName name="\T">#REF!</definedName>
    <definedName name="\U">#REF!</definedName>
    <definedName name="\W" localSheetId="0">#REF!</definedName>
    <definedName name="\W">#N/A</definedName>
    <definedName name="\X" localSheetId="0">#N/A</definedName>
    <definedName name="\X">#N/A</definedName>
    <definedName name="\Y">#REF!</definedName>
    <definedName name="ALL" localSheetId="0">#N/A</definedName>
    <definedName name="ALL">#N/A</definedName>
    <definedName name="_xlnm.Print_Area" localSheetId="2">'Input'!$A$1:$I$71</definedName>
    <definedName name="_xlnm.Print_Area" localSheetId="0">'Introduction'!$A$1:$I$31</definedName>
    <definedName name="Z_6E930F6D_F725_11D2_92B5_0004ACD86FC2_.wvu.PrintArea" localSheetId="0" hidden="1">'Introduction'!$A$1:$B$26</definedName>
  </definedNames>
  <calcPr fullCalcOnLoad="1"/>
</workbook>
</file>

<file path=xl/sharedStrings.xml><?xml version="1.0" encoding="utf-8"?>
<sst xmlns="http://schemas.openxmlformats.org/spreadsheetml/2006/main" count="490" uniqueCount="273">
  <si>
    <t/>
  </si>
  <si>
    <t>3.  Depreciation</t>
  </si>
  <si>
    <t xml:space="preserve">    3.01   Buildings</t>
  </si>
  <si>
    <t>4.  Investment</t>
  </si>
  <si>
    <t xml:space="preserve">    4.01   Buildings</t>
  </si>
  <si>
    <t>Breakeven price</t>
  </si>
  <si>
    <t>x</t>
  </si>
  <si>
    <t>÷</t>
  </si>
  <si>
    <t>=</t>
  </si>
  <si>
    <t xml:space="preserve">Total </t>
  </si>
  <si>
    <t>Total</t>
  </si>
  <si>
    <t>+</t>
  </si>
  <si>
    <t>-</t>
  </si>
  <si>
    <t>years useful life</t>
  </si>
  <si>
    <t>Your Cost</t>
  </si>
  <si>
    <t>A.  Operating Costs</t>
  </si>
  <si>
    <t>2.  Other Operating Costs</t>
  </si>
  <si>
    <t>Total Operating Costs</t>
  </si>
  <si>
    <t>B.  Fixed Costs</t>
  </si>
  <si>
    <t>Total Fixed Costs</t>
  </si>
  <si>
    <t>Total Operating and Fixed Costs</t>
  </si>
  <si>
    <t>Total Cost of Production</t>
  </si>
  <si>
    <t>Prepared by:</t>
  </si>
  <si>
    <t xml:space="preserve">        A. Operating Costs</t>
  </si>
  <si>
    <t>salvage value</t>
  </si>
  <si>
    <t>average</t>
  </si>
  <si>
    <t>Assumptions</t>
  </si>
  <si>
    <t>Capital Costs</t>
  </si>
  <si>
    <t>Useful Life</t>
  </si>
  <si>
    <t>original cost</t>
  </si>
  <si>
    <t>2</t>
  </si>
  <si>
    <t>subtotal operating costs</t>
  </si>
  <si>
    <t>%</t>
  </si>
  <si>
    <t>4.01  Buildings</t>
  </si>
  <si>
    <t>B. Fixed Costs</t>
  </si>
  <si>
    <t>A. Operating Costs</t>
  </si>
  <si>
    <t>Other Operating Costs</t>
  </si>
  <si>
    <t>years</t>
  </si>
  <si>
    <t xml:space="preserve">    Total Capital Investment</t>
  </si>
  <si>
    <t>Original Value</t>
  </si>
  <si>
    <t>Salvage Value</t>
  </si>
  <si>
    <t>Subtotal Operating Costs</t>
  </si>
  <si>
    <t xml:space="preserve">         (Operating interest is charged on one half of the subtotal operating costs)</t>
  </si>
  <si>
    <t>Original Cost - Salvage Value</t>
  </si>
  <si>
    <t>2.  Buildings and equipment are valued at new cost.</t>
  </si>
  <si>
    <t>% investment rate</t>
  </si>
  <si>
    <t xml:space="preserve">   Total </t>
  </si>
  <si>
    <t xml:space="preserve">    Total </t>
  </si>
  <si>
    <t xml:space="preserve">   Total</t>
  </si>
  <si>
    <t>Total Capital Investment</t>
  </si>
  <si>
    <t>C.  Labour</t>
  </si>
  <si>
    <t>C. Labour</t>
  </si>
  <si>
    <t>Total Cost</t>
  </si>
  <si>
    <t>Date:</t>
  </si>
  <si>
    <t>Guidelines For Estimating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</si>
  <si>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</si>
  <si>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For further information contact your local MAFRI office.</t>
  </si>
  <si>
    <t xml:space="preserve">Business Development Specialist </t>
  </si>
  <si>
    <t xml:space="preserve">        B. Operating &amp; labour Costs</t>
  </si>
  <si>
    <t xml:space="preserve">        C. Operating &amp; Fixed Costs</t>
  </si>
  <si>
    <t xml:space="preserve">        D. Operating, Fixed &amp; Labour Costs</t>
  </si>
  <si>
    <t>Biodiesel Production Costs - Input</t>
  </si>
  <si>
    <t>1.  This budget outlines the cost of production for a biodiesel operation.</t>
  </si>
  <si>
    <r>
      <t>Disclaimer</t>
    </r>
    <r>
      <rPr>
        <sz val="12"/>
        <rFont val="Tahoma"/>
        <family val="2"/>
      </rPr>
      <t>: This budget is only a guide and is not intended as an in depth study of the cost of production of the Manitoba biodiesel industry. Interpretation and utilization of this information is the responsibility of the user. If you require assistance with developing your individual budget, please contact your local MAFRI Business Development Specialist.</t>
    </r>
  </si>
  <si>
    <t>Canola Oil Production</t>
  </si>
  <si>
    <t>/ hour</t>
  </si>
  <si>
    <t xml:space="preserve"> Days per year</t>
  </si>
  <si>
    <t xml:space="preserve"> Hours operation per day</t>
  </si>
  <si>
    <t xml:space="preserve"> Employees per shift - biodiesel production</t>
  </si>
  <si>
    <t xml:space="preserve"> Labour Rate</t>
  </si>
  <si>
    <t xml:space="preserve"> kg / L</t>
  </si>
  <si>
    <t xml:space="preserve"> litres</t>
  </si>
  <si>
    <t xml:space="preserve"> / bushel</t>
  </si>
  <si>
    <t xml:space="preserve"> / tonne</t>
  </si>
  <si>
    <t xml:space="preserve"> / litre</t>
  </si>
  <si>
    <t>Vegetable oil required per litre biodiesel</t>
  </si>
  <si>
    <t xml:space="preserve"> Glycerol</t>
  </si>
  <si>
    <t xml:space="preserve"> Methanol</t>
  </si>
  <si>
    <t xml:space="preserve"> Methanol recovery</t>
  </si>
  <si>
    <t xml:space="preserve"> / kWhr</t>
  </si>
  <si>
    <t xml:space="preserve"> Maintenance</t>
  </si>
  <si>
    <t xml:space="preserve"> Insurance</t>
  </si>
  <si>
    <t xml:space="preserve"> Property taxes</t>
  </si>
  <si>
    <t xml:space="preserve">   Buildings </t>
  </si>
  <si>
    <t xml:space="preserve">    Biodiesel plant</t>
  </si>
  <si>
    <t xml:space="preserve">    Canola oil plant</t>
  </si>
  <si>
    <t xml:space="preserve">    Total Bldg., Mach. &amp; Equip </t>
  </si>
  <si>
    <t>Cost/Litre</t>
  </si>
  <si>
    <t xml:space="preserve">    1.02   Methanol</t>
  </si>
  <si>
    <t>1.  Input Costs</t>
  </si>
  <si>
    <t xml:space="preserve">    1.03   Catalyst</t>
  </si>
  <si>
    <t xml:space="preserve"> Misc. Administration</t>
  </si>
  <si>
    <t xml:space="preserve"> / year</t>
  </si>
  <si>
    <t xml:space="preserve">    4.03   Land</t>
  </si>
  <si>
    <t xml:space="preserve"> $/Litre</t>
  </si>
  <si>
    <t xml:space="preserve">    2.02   Maintenance</t>
  </si>
  <si>
    <t xml:space="preserve">    2.03   Misc. Administration</t>
  </si>
  <si>
    <t xml:space="preserve">    2.04   Insurance</t>
  </si>
  <si>
    <t>5.  Biodiesel</t>
  </si>
  <si>
    <t xml:space="preserve"> Investment Rate  </t>
  </si>
  <si>
    <t xml:space="preserve"> Operating Interest Rate  </t>
  </si>
  <si>
    <t xml:space="preserve"> Catalyst - potassium hydroxide</t>
  </si>
  <si>
    <t>Biodiesel Plant Production</t>
  </si>
  <si>
    <t xml:space="preserve"> Canola meal - 34% protein</t>
  </si>
  <si>
    <t xml:space="preserve"> Employees per shift - canola oil production</t>
  </si>
  <si>
    <t xml:space="preserve"> Canola seed oil content</t>
  </si>
  <si>
    <t xml:space="preserve"> Residual oil in canola meal</t>
  </si>
  <si>
    <t xml:space="preserve"> Residual oil in canola meal (solvent extraction)</t>
  </si>
  <si>
    <t xml:space="preserve"> Canola oil bulk density</t>
  </si>
  <si>
    <t xml:space="preserve"> Barley price - 76% Total Digestible Nutrients</t>
  </si>
  <si>
    <t xml:space="preserve">    1.01   Feedstock - canola oil</t>
  </si>
  <si>
    <t>Biodiesel Production Worksheet</t>
  </si>
  <si>
    <t>1.01  Feedstock - vegetable oil</t>
  </si>
  <si>
    <t>canola seed oil content</t>
  </si>
  <si>
    <t>residual oil in canola meal</t>
  </si>
  <si>
    <t>net oil extraction</t>
  </si>
  <si>
    <t>kg per tonne</t>
  </si>
  <si>
    <t>kg oil per tonne of canola</t>
  </si>
  <si>
    <t>Litres oil per tonne of canola</t>
  </si>
  <si>
    <t>Biodiesel Plant Capacity - litres</t>
  </si>
  <si>
    <t>oil required per litre biodiesel</t>
  </si>
  <si>
    <t>Total Tonnes of Canola</t>
  </si>
  <si>
    <t>net canola meal yield</t>
  </si>
  <si>
    <t>Tonnes canola per day</t>
  </si>
  <si>
    <t>Tonnes canola per hour</t>
  </si>
  <si>
    <t>Days per year - crush</t>
  </si>
  <si>
    <t xml:space="preserve"> Hours operation per day - crush</t>
  </si>
  <si>
    <t xml:space="preserve"> Labour Rate per hour</t>
  </si>
  <si>
    <t>1.02  Methanol</t>
  </si>
  <si>
    <t>Methanol required</t>
  </si>
  <si>
    <t>Methanol per tonne</t>
  </si>
  <si>
    <t>1.03  Catalyst</t>
  </si>
  <si>
    <t>Catalyst per tonne</t>
  </si>
  <si>
    <t>Tonnes canola meal</t>
  </si>
  <si>
    <t>Canola meal - 34% protein</t>
  </si>
  <si>
    <t>Kg extra oil content in meal</t>
  </si>
  <si>
    <t>Residual oil canola meal premium</t>
  </si>
  <si>
    <t xml:space="preserve"> Extra oil meal premium</t>
  </si>
  <si>
    <t>Oil premium payable</t>
  </si>
  <si>
    <t>Canola meal price per tonne</t>
  </si>
  <si>
    <t>Canola meal income</t>
  </si>
  <si>
    <t>Hours operation per day - crush</t>
  </si>
  <si>
    <t>HP per tonne</t>
  </si>
  <si>
    <t>Canola oil feed value equivalent</t>
  </si>
  <si>
    <t xml:space="preserve">  per tonne (167.28 TDN)</t>
  </si>
  <si>
    <t xml:space="preserve">Catalyst </t>
  </si>
  <si>
    <t>Methanol</t>
  </si>
  <si>
    <t>Oil premium per tonne</t>
  </si>
  <si>
    <t>HP to kilowatts</t>
  </si>
  <si>
    <t>2.02  Maintenance</t>
  </si>
  <si>
    <t>capital cost - buildings</t>
  </si>
  <si>
    <t>capital cost - equipment</t>
  </si>
  <si>
    <t>Total bldg. &amp; equipment</t>
  </si>
  <si>
    <t>Total Maintenance</t>
  </si>
  <si>
    <t>2.03  Misc. Administration</t>
  </si>
  <si>
    <t>misc. administration</t>
  </si>
  <si>
    <t>2.04  Insurance</t>
  </si>
  <si>
    <t>Insurance rate</t>
  </si>
  <si>
    <t>Maintenance rate</t>
  </si>
  <si>
    <t>Total Insurance</t>
  </si>
  <si>
    <t>2.05 Property Taxes</t>
  </si>
  <si>
    <t>capital cost - land</t>
  </si>
  <si>
    <t>Total bldg. &amp; land</t>
  </si>
  <si>
    <t>Property tax rate</t>
  </si>
  <si>
    <t>Total Property tax</t>
  </si>
  <si>
    <t xml:space="preserve">    2.05   Property Taxes</t>
  </si>
  <si>
    <t xml:space="preserve">    2.06   Operating Interest</t>
  </si>
  <si>
    <t>2.06  Operating Interest</t>
  </si>
  <si>
    <t>Operating Interest</t>
  </si>
  <si>
    <t>% operating interest rate</t>
  </si>
  <si>
    <t>Subtotal Input Cost</t>
  </si>
  <si>
    <t xml:space="preserve"> Employees per shift </t>
  </si>
  <si>
    <t xml:space="preserve">    Canola oil</t>
  </si>
  <si>
    <t xml:space="preserve">    Biodiesel</t>
  </si>
  <si>
    <t>Labour</t>
  </si>
  <si>
    <t>Full time job positions</t>
  </si>
  <si>
    <t xml:space="preserve">  Buildings</t>
  </si>
  <si>
    <t xml:space="preserve">        Biodiesel Plant</t>
  </si>
  <si>
    <t xml:space="preserve">        Canola oil Plant</t>
  </si>
  <si>
    <t>Total Land Value</t>
  </si>
  <si>
    <t xml:space="preserve">    Total Land Value</t>
  </si>
  <si>
    <t>3.01  Buildings</t>
  </si>
  <si>
    <t>4.03  Land</t>
  </si>
  <si>
    <t>Tonnes glycerol produced</t>
  </si>
  <si>
    <t>glycerol per tonne</t>
  </si>
  <si>
    <t>Glycerol</t>
  </si>
  <si>
    <t>4.  Feedstock cost (vegetable oil) includes the market value of canola meal produced.</t>
  </si>
  <si>
    <t>Roy Arnott, P.Ag.</t>
  </si>
  <si>
    <t>Bob Gwyer, P.Ag.</t>
  </si>
  <si>
    <t>Marc Boulanger, P.Ag.</t>
  </si>
  <si>
    <t>Killarney GO Centre 204-523-6424</t>
  </si>
  <si>
    <t xml:space="preserve"> Canola cost of production</t>
  </si>
  <si>
    <t xml:space="preserve"> / acre</t>
  </si>
  <si>
    <t xml:space="preserve"> Canola average yield - bushels</t>
  </si>
  <si>
    <t>Tonnes Canola required</t>
  </si>
  <si>
    <t>Canola cost of production per acre</t>
  </si>
  <si>
    <t>Yield per acre</t>
  </si>
  <si>
    <t>Feedstock cost per tonne</t>
  </si>
  <si>
    <t xml:space="preserve">Feedstock - Canola </t>
  </si>
  <si>
    <t>Net Feedstock Cost</t>
  </si>
  <si>
    <t>Tonnes of Canola required</t>
  </si>
  <si>
    <t>Canola oil Labour Cost</t>
  </si>
  <si>
    <t>Biodiesel Labour Cost</t>
  </si>
  <si>
    <t>D.  Value</t>
  </si>
  <si>
    <t>5.01  Estimated On-Farm Biodiesel value</t>
  </si>
  <si>
    <t>Total Value - Cost of Production</t>
  </si>
  <si>
    <t>Bushels Canola required</t>
  </si>
  <si>
    <t>5.  All Biodiesel produced is for farm use only.</t>
  </si>
  <si>
    <t>3.  All canola feedstock is valued at cost of production.</t>
  </si>
  <si>
    <t xml:space="preserve"> $ Cost of Prod./Bushel</t>
  </si>
  <si>
    <t>Feedstock cost of production per bushel</t>
  </si>
  <si>
    <t>5.  Value</t>
  </si>
  <si>
    <t>Souris GO Centre 204-483-4058</t>
  </si>
  <si>
    <t>Minnedosa GO Office 204-868-5322</t>
  </si>
  <si>
    <t xml:space="preserve"> On-farm biodiesel blend usage</t>
  </si>
  <si>
    <t xml:space="preserve"> On-farm fuel efficiency increase with biodiesel use</t>
  </si>
  <si>
    <t>Biodiesel value</t>
  </si>
  <si>
    <t>Total Value</t>
  </si>
  <si>
    <t xml:space="preserve">    5.03   Glycerol sales</t>
  </si>
  <si>
    <t>5.03  Glycerol Sales</t>
  </si>
  <si>
    <t>Diesel (coloured) farm fuel - #1 ULSD</t>
  </si>
  <si>
    <t>5.02  Estimated Increased Fuel Efficiency value</t>
  </si>
  <si>
    <t>Increased Fuel Efficiency value</t>
  </si>
  <si>
    <t>Total Relative biodiesel value</t>
  </si>
  <si>
    <t>Balance - Relative biodiesel value</t>
  </si>
  <si>
    <t xml:space="preserve">    5.01   Estimated on-farm biodiesel value</t>
  </si>
  <si>
    <t xml:space="preserve">    5.02   Estimated increased fuel efficiency value</t>
  </si>
  <si>
    <t>Canola Biodiesel Production Costs - Farm Fuel</t>
  </si>
  <si>
    <t>kWhr per litre</t>
  </si>
  <si>
    <t xml:space="preserve"> Shrinkage in oilseed processing</t>
  </si>
  <si>
    <t>shrinkage in processing</t>
  </si>
  <si>
    <t>The budget estimates are based on a number of assumptions which are clearly defined in the supporting pages.  Input costs are based on industry information. Proper plant management in the production process and compliance to all applicable environmental requirements is assumed. Most OEM require biodiesel to meet ASTM D6751 fuel quality standard.</t>
  </si>
  <si>
    <t xml:space="preserve"> Diesel (coloured) farm fuel - ULSD</t>
  </si>
  <si>
    <t xml:space="preserve"> $/Bushel</t>
  </si>
  <si>
    <t xml:space="preserve"> Canola market price per bushel</t>
  </si>
  <si>
    <t xml:space="preserve">     - Canola grain marketing margin</t>
  </si>
  <si>
    <t xml:space="preserve">        Biodiesel processing margin</t>
  </si>
  <si>
    <t>Opportunity Cost - Value Added Processing</t>
  </si>
  <si>
    <t xml:space="preserve">This guide is designed to provide you with planning information and a format for calculating costs of production for on-farm biodiesel production based on the cost of growing canola on your farm. Opportunity costs related to potential canola market prices are included. Adjustments will be necessary when applying these figures to your own enterprise. </t>
  </si>
  <si>
    <t xml:space="preserve">    = Net Benefit from Value Added Processing</t>
  </si>
  <si>
    <t>Total Building Cost</t>
  </si>
  <si>
    <t>Original Cost + Salvage Value x Investment Rate</t>
  </si>
  <si>
    <t>Labour Rate per hour</t>
  </si>
  <si>
    <t>Hours operation per day</t>
  </si>
  <si>
    <t>Days per year</t>
  </si>
  <si>
    <t xml:space="preserve">Employees per shift </t>
  </si>
  <si>
    <t xml:space="preserve"> Plant size - thousands of litres annually</t>
  </si>
  <si>
    <t>kg potassium hydroxide / tonne</t>
  </si>
  <si>
    <t>Canola oil bulk density kg / L</t>
  </si>
  <si>
    <t xml:space="preserve">   Equipment</t>
  </si>
  <si>
    <t>3.02  Equipment</t>
  </si>
  <si>
    <t>Canola Oil Plant</t>
  </si>
  <si>
    <t>Biodiesel Plant</t>
  </si>
  <si>
    <t>4.02  Equipment</t>
  </si>
  <si>
    <t xml:space="preserve">  Equipment</t>
  </si>
  <si>
    <t>Total Equipment</t>
  </si>
  <si>
    <t>Total Building &amp; Equipment</t>
  </si>
  <si>
    <t>Total Depreciation</t>
  </si>
  <si>
    <t>Total Investment</t>
  </si>
  <si>
    <t>land value</t>
  </si>
  <si>
    <t xml:space="preserve">    4.02   Equipment</t>
  </si>
  <si>
    <t xml:space="preserve">    3.02   Equipment</t>
  </si>
  <si>
    <t xml:space="preserve">    2.01   Electricity</t>
  </si>
  <si>
    <t xml:space="preserve"> Electricity</t>
  </si>
  <si>
    <t>Electricity rate - kWhr</t>
  </si>
  <si>
    <t>Subtotal Electricity - biodiesel</t>
  </si>
  <si>
    <t>Electricity</t>
  </si>
  <si>
    <t>2.01  Electricity</t>
  </si>
  <si>
    <t>Subtotal Electricity - crush</t>
  </si>
  <si>
    <t>May, 2011</t>
  </si>
  <si>
    <t>Grant Palmer</t>
  </si>
  <si>
    <t>Policy Economist</t>
  </si>
  <si>
    <t>Policy Analysis Winnipeg 204-391-7512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</si>
</sst>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000"/>
    <numFmt numFmtId="170" formatCode="&quot;$&quot;#,##0.0000"/>
    <numFmt numFmtId="171" formatCode="&quot;$&quot;#,##0.00"/>
    <numFmt numFmtId="172" formatCode="0.0"/>
    <numFmt numFmtId="173" formatCode="#,##0.000"/>
    <numFmt numFmtId="174" formatCode="0.000"/>
    <numFmt numFmtId="175" formatCode="0.00000"/>
    <numFmt numFmtId="176" formatCode="&quot;$&quot;#,##0"/>
    <numFmt numFmtId="177" formatCode="0.0%"/>
    <numFmt numFmtId="178" formatCode="&quot;$&quot;#,##0.000"/>
    <numFmt numFmtId="179" formatCode="#,##0.0_);[Red]\(#,##0.0\)"/>
    <numFmt numFmtId="180" formatCode="_-&quot;£&quot;* #,##0_-;\-&quot;£&quot;* #,##0_-;_-&quot;£&quot;* &quot;-&quot;_-;_-@_-"/>
    <numFmt numFmtId="181" formatCode="_-&quot;£&quot;* #,##0.00_-;\-&quot;£&quot;* #,##0.00_-;_-&quot;£&quot;* &quot;-&quot;??_-;_-@_-"/>
    <numFmt numFmtId="182" formatCode="#,##0.000_);[Red]\(#,##0.000\)"/>
    <numFmt numFmtId="183" formatCode="#,##0.00000"/>
    <numFmt numFmtId="184" formatCode="&quot;$&quot;#,##0.0000_);[Red]\(&quot;$&quot;#,##0.0000\)"/>
    <numFmt numFmtId="185" formatCode="&quot;$&quot;#,##0.00000"/>
    <numFmt numFmtId="186" formatCode="_-* #,##0.0_-;\-* #,##0.0_-;_-* &quot;-&quot;??_-;_-@_-"/>
    <numFmt numFmtId="187" formatCode="_-* #,##0_-;\-* #,##0_-;_-* &quot;-&quot;??_-;_-@_-"/>
    <numFmt numFmtId="188" formatCode="#,##0_ ;\-#,##0\ "/>
    <numFmt numFmtId="189" formatCode="[$-1009]mmmm\-dd\-yy"/>
    <numFmt numFmtId="190" formatCode="[$-409]h:mm:ss\ AM/PM"/>
  </numFmts>
  <fonts count="59">
    <font>
      <sz val="12"/>
      <name val="Arial"/>
      <family val="0"/>
    </font>
    <font>
      <sz val="11"/>
      <color indexed="8"/>
      <name val="Calibri"/>
      <family val="2"/>
    </font>
    <font>
      <u val="single"/>
      <sz val="12"/>
      <name val="Arial"/>
      <family val="2"/>
    </font>
    <font>
      <b/>
      <sz val="14"/>
      <color indexed="18"/>
      <name val="Arial"/>
      <family val="2"/>
    </font>
    <font>
      <b/>
      <sz val="12"/>
      <name val="Arial"/>
      <family val="2"/>
    </font>
    <font>
      <b/>
      <u val="single"/>
      <sz val="12"/>
      <name val="Arial"/>
      <family val="2"/>
    </font>
    <font>
      <b/>
      <sz val="12"/>
      <color indexed="12"/>
      <name val="Arial"/>
      <family val="2"/>
    </font>
    <font>
      <sz val="14"/>
      <name val="Arial"/>
      <family val="2"/>
    </font>
    <font>
      <b/>
      <sz val="10"/>
      <color indexed="12"/>
      <name val="Arial"/>
      <family val="2"/>
    </font>
    <font>
      <b/>
      <u val="single"/>
      <sz val="14"/>
      <name val="Arial"/>
      <family val="2"/>
    </font>
    <font>
      <b/>
      <sz val="12"/>
      <color indexed="56"/>
      <name val="Arial"/>
      <family val="2"/>
    </font>
    <font>
      <b/>
      <sz val="14"/>
      <name val="Arial"/>
      <family val="2"/>
    </font>
    <font>
      <b/>
      <u val="single"/>
      <sz val="12"/>
      <color indexed="12"/>
      <name val="Arial"/>
      <family val="2"/>
    </font>
    <font>
      <b/>
      <i/>
      <sz val="12"/>
      <name val="Arial"/>
      <family val="2"/>
    </font>
    <font>
      <sz val="10"/>
      <name val="Arial"/>
      <family val="2"/>
    </font>
    <font>
      <sz val="10"/>
      <color indexed="12"/>
      <name val="Arial"/>
      <family val="2"/>
    </font>
    <font>
      <b/>
      <sz val="10"/>
      <name val="Arial"/>
      <family val="2"/>
    </font>
    <font>
      <sz val="12"/>
      <color indexed="10"/>
      <name val="Arial"/>
      <family val="2"/>
    </font>
    <font>
      <sz val="8"/>
      <name val="Arial"/>
      <family val="2"/>
    </font>
    <font>
      <b/>
      <sz val="12"/>
      <color indexed="10"/>
      <name val="Arial"/>
      <family val="2"/>
    </font>
    <font>
      <sz val="12"/>
      <name val="Tahoma"/>
      <family val="2"/>
    </font>
    <font>
      <b/>
      <sz val="12"/>
      <name val="Tahoma"/>
      <family val="2"/>
    </font>
    <font>
      <sz val="18"/>
      <color indexed="18"/>
      <name val="Tahoma"/>
      <family val="2"/>
    </font>
    <font>
      <i/>
      <sz val="12"/>
      <name val="Arial"/>
      <family val="2"/>
    </font>
    <font>
      <b/>
      <sz val="20"/>
      <color indexed="18"/>
      <name val="Tahoma"/>
      <family val="2"/>
    </font>
    <font>
      <b/>
      <sz val="16"/>
      <color indexed="18"/>
      <name val="Arial"/>
      <family val="2"/>
    </font>
    <font>
      <sz val="16"/>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right/>
      <top/>
      <bottom style="double"/>
    </border>
    <border>
      <left/>
      <right/>
      <top style="double"/>
      <bottom style="thin"/>
    </border>
  </borders>
  <cellStyleXfs count="8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79" fontId="0" fillId="0" borderId="0">
      <alignment/>
      <protection/>
    </xf>
    <xf numFmtId="179" fontId="6" fillId="0" borderId="0">
      <alignment/>
      <protection locked="0"/>
    </xf>
    <xf numFmtId="40" fontId="0" fillId="0" borderId="0">
      <alignment/>
      <protection/>
    </xf>
    <xf numFmtId="4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171" fontId="0" fillId="0" borderId="0">
      <alignment vertical="top"/>
      <protection/>
    </xf>
    <xf numFmtId="0" fontId="0" fillId="32" borderId="7" applyNumberFormat="0" applyFont="0" applyAlignment="0" applyProtection="0"/>
    <xf numFmtId="38" fontId="14" fillId="33" borderId="8">
      <alignment/>
      <protection/>
    </xf>
    <xf numFmtId="38" fontId="15" fillId="0" borderId="8">
      <alignment/>
      <protection locked="0"/>
    </xf>
    <xf numFmtId="179" fontId="14" fillId="34" borderId="8">
      <alignment/>
      <protection/>
    </xf>
    <xf numFmtId="179" fontId="15" fillId="0" borderId="8">
      <alignment/>
      <protection locked="0"/>
    </xf>
    <xf numFmtId="40" fontId="14" fillId="34" borderId="8">
      <alignment/>
      <protection/>
    </xf>
    <xf numFmtId="40" fontId="15" fillId="0" borderId="8">
      <alignment/>
      <protection locked="0"/>
    </xf>
    <xf numFmtId="0" fontId="55" fillId="27" borderId="9" applyNumberFormat="0" applyAlignment="0" applyProtection="0"/>
    <xf numFmtId="9" fontId="0" fillId="0" borderId="0" applyFont="0" applyFill="0" applyBorder="0" applyAlignment="0" applyProtection="0"/>
    <xf numFmtId="10" fontId="0" fillId="0" borderId="0">
      <alignment/>
      <protection/>
    </xf>
    <xf numFmtId="10" fontId="15" fillId="35" borderId="8">
      <alignment/>
      <protection locked="0"/>
    </xf>
    <xf numFmtId="0" fontId="14" fillId="36" borderId="0">
      <alignment/>
      <protection/>
    </xf>
    <xf numFmtId="0" fontId="56" fillId="0" borderId="0" applyNumberFormat="0" applyFill="0" applyBorder="0" applyAlignment="0" applyProtection="0"/>
    <xf numFmtId="0" fontId="57" fillId="0" borderId="10" applyNumberFormat="0" applyFill="0" applyAlignment="0" applyProtection="0"/>
    <xf numFmtId="180" fontId="14" fillId="0" borderId="0" applyFont="0" applyFill="0" applyBorder="0" applyAlignment="0" applyProtection="0"/>
    <xf numFmtId="181" fontId="14" fillId="0" borderId="0" applyFont="0" applyFill="0" applyBorder="0" applyAlignment="0" applyProtection="0"/>
    <xf numFmtId="0" fontId="58" fillId="0" borderId="0" applyNumberFormat="0" applyFill="0" applyBorder="0" applyAlignment="0" applyProtection="0"/>
  </cellStyleXfs>
  <cellXfs count="210">
    <xf numFmtId="3" fontId="0" fillId="0" borderId="0" xfId="0" applyNumberFormat="1" applyAlignment="1">
      <alignment/>
    </xf>
    <xf numFmtId="171" fontId="0" fillId="0" borderId="0" xfId="65">
      <alignment vertical="top"/>
      <protection/>
    </xf>
    <xf numFmtId="0" fontId="0" fillId="0" borderId="0" xfId="65" applyNumberFormat="1" applyFont="1" applyAlignment="1">
      <alignment horizontal="left" vertical="justify" wrapText="1"/>
      <protection/>
    </xf>
    <xf numFmtId="3" fontId="0" fillId="0" borderId="0" xfId="0" applyNumberFormat="1" applyAlignment="1" applyProtection="1">
      <alignment/>
      <protection/>
    </xf>
    <xf numFmtId="3" fontId="4" fillId="0" borderId="0" xfId="0" applyNumberFormat="1" applyFont="1" applyAlignment="1" applyProtection="1">
      <alignment/>
      <protection/>
    </xf>
    <xf numFmtId="166" fontId="0" fillId="0" borderId="0" xfId="0" applyNumberFormat="1" applyAlignment="1" applyProtection="1">
      <alignment/>
      <protection/>
    </xf>
    <xf numFmtId="166" fontId="5" fillId="0" borderId="0" xfId="0" applyNumberFormat="1" applyFont="1" applyAlignment="1" applyProtection="1">
      <alignment horizontal="right"/>
      <protection/>
    </xf>
    <xf numFmtId="3" fontId="6" fillId="0" borderId="0" xfId="0" applyNumberFormat="1" applyFont="1" applyAlignment="1" applyProtection="1">
      <alignment/>
      <protection/>
    </xf>
    <xf numFmtId="3" fontId="4" fillId="0" borderId="0" xfId="0" applyNumberFormat="1" applyFont="1" applyAlignment="1" applyProtection="1">
      <alignment horizontal="right"/>
      <protection/>
    </xf>
    <xf numFmtId="3" fontId="9" fillId="0" borderId="0" xfId="0" applyNumberFormat="1" applyFont="1" applyAlignment="1" applyProtection="1">
      <alignment horizontal="center"/>
      <protection/>
    </xf>
    <xf numFmtId="3" fontId="10" fillId="0" borderId="0" xfId="0" applyNumberFormat="1" applyFont="1" applyAlignment="1" applyProtection="1">
      <alignment/>
      <protection/>
    </xf>
    <xf numFmtId="176" fontId="4" fillId="0" borderId="0" xfId="0" applyNumberFormat="1" applyFont="1" applyAlignment="1" applyProtection="1">
      <alignment/>
      <protection/>
    </xf>
    <xf numFmtId="176" fontId="0" fillId="0" borderId="0" xfId="0" applyNumberFormat="1" applyAlignment="1" applyProtection="1">
      <alignment/>
      <protection/>
    </xf>
    <xf numFmtId="171" fontId="0" fillId="0" borderId="0" xfId="0" applyNumberFormat="1" applyAlignment="1" applyProtection="1">
      <alignment/>
      <protection/>
    </xf>
    <xf numFmtId="3" fontId="7" fillId="0" borderId="0" xfId="0" applyNumberFormat="1" applyFont="1" applyAlignment="1" applyProtection="1">
      <alignment/>
      <protection/>
    </xf>
    <xf numFmtId="3" fontId="7" fillId="0" borderId="0" xfId="0" applyNumberFormat="1" applyFont="1" applyAlignment="1">
      <alignment/>
    </xf>
    <xf numFmtId="0" fontId="11" fillId="0" borderId="0" xfId="0" applyFont="1" applyAlignment="1" applyProtection="1">
      <alignment/>
      <protection/>
    </xf>
    <xf numFmtId="3" fontId="0" fillId="0" borderId="0" xfId="0" applyNumberFormat="1" applyFont="1" applyAlignment="1" applyProtection="1">
      <alignment/>
      <protection/>
    </xf>
    <xf numFmtId="0" fontId="4" fillId="0" borderId="0" xfId="0" applyFont="1" applyAlignment="1" applyProtection="1">
      <alignment/>
      <protection/>
    </xf>
    <xf numFmtId="4" fontId="0" fillId="0" borderId="0" xfId="0" applyNumberFormat="1" applyFont="1" applyAlignment="1" applyProtection="1">
      <alignment/>
      <protection/>
    </xf>
    <xf numFmtId="3" fontId="0" fillId="0" borderId="11" xfId="0" applyNumberFormat="1" applyFont="1" applyBorder="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171" fontId="4" fillId="0" borderId="0" xfId="0" applyNumberFormat="1" applyFont="1" applyAlignment="1" applyProtection="1">
      <alignment/>
      <protection/>
    </xf>
    <xf numFmtId="166" fontId="2" fillId="0" borderId="0" xfId="0" applyNumberFormat="1" applyFont="1" applyAlignment="1" applyProtection="1">
      <alignment/>
      <protection/>
    </xf>
    <xf numFmtId="3" fontId="2" fillId="0" borderId="0" xfId="0" applyNumberFormat="1" applyFont="1" applyBorder="1" applyAlignment="1" applyProtection="1">
      <alignment/>
      <protection/>
    </xf>
    <xf numFmtId="3" fontId="0" fillId="0" borderId="0" xfId="0" applyNumberFormat="1" applyFont="1" applyAlignment="1">
      <alignment/>
    </xf>
    <xf numFmtId="176" fontId="0" fillId="0" borderId="0" xfId="0" applyNumberFormat="1" applyFont="1" applyAlignment="1" applyProtection="1">
      <alignment/>
      <protection/>
    </xf>
    <xf numFmtId="3" fontId="13" fillId="0" borderId="0" xfId="0" applyNumberFormat="1" applyFont="1" applyAlignment="1" applyProtection="1">
      <alignment/>
      <protection/>
    </xf>
    <xf numFmtId="164" fontId="0" fillId="0" borderId="0" xfId="0" applyNumberFormat="1" applyFont="1" applyAlignment="1" applyProtection="1">
      <alignment/>
      <protection/>
    </xf>
    <xf numFmtId="3" fontId="4" fillId="0" borderId="0" xfId="0" applyNumberFormat="1" applyFont="1" applyAlignment="1" applyProtection="1">
      <alignment horizontal="center"/>
      <protection/>
    </xf>
    <xf numFmtId="0" fontId="4" fillId="0" borderId="12" xfId="0" applyFont="1" applyBorder="1" applyAlignment="1" applyProtection="1">
      <alignment/>
      <protection/>
    </xf>
    <xf numFmtId="0" fontId="0" fillId="0" borderId="12" xfId="0" applyFont="1" applyBorder="1" applyAlignment="1" applyProtection="1">
      <alignment/>
      <protection/>
    </xf>
    <xf numFmtId="0" fontId="0" fillId="0" borderId="0" xfId="0" applyFont="1" applyBorder="1" applyAlignment="1" applyProtection="1">
      <alignment/>
      <protection/>
    </xf>
    <xf numFmtId="3" fontId="2" fillId="0" borderId="0" xfId="0" applyNumberFormat="1" applyFont="1" applyAlignment="1" applyProtection="1">
      <alignment/>
      <protection/>
    </xf>
    <xf numFmtId="164" fontId="5" fillId="0" borderId="0" xfId="0" applyNumberFormat="1" applyFont="1" applyAlignment="1" applyProtection="1">
      <alignment horizontal="right"/>
      <protection/>
    </xf>
    <xf numFmtId="176" fontId="2" fillId="0" borderId="0" xfId="0" applyNumberFormat="1" applyFont="1" applyAlignment="1" applyProtection="1">
      <alignment/>
      <protection/>
    </xf>
    <xf numFmtId="3" fontId="0" fillId="0" borderId="13" xfId="0" applyNumberFormat="1" applyFont="1" applyBorder="1" applyAlignment="1" applyProtection="1">
      <alignment/>
      <protection/>
    </xf>
    <xf numFmtId="164" fontId="4" fillId="0" borderId="0" xfId="0" applyNumberFormat="1" applyFont="1" applyAlignment="1" applyProtection="1">
      <alignment/>
      <protection/>
    </xf>
    <xf numFmtId="3" fontId="0" fillId="0" borderId="14" xfId="0" applyNumberFormat="1" applyFont="1" applyBorder="1" applyAlignment="1" applyProtection="1">
      <alignment/>
      <protection/>
    </xf>
    <xf numFmtId="3" fontId="0" fillId="0" borderId="0" xfId="0" applyNumberFormat="1" applyFont="1" applyBorder="1" applyAlignment="1" applyProtection="1">
      <alignment/>
      <protection/>
    </xf>
    <xf numFmtId="3" fontId="5" fillId="0" borderId="0" xfId="0" applyNumberFormat="1" applyFont="1" applyAlignment="1" applyProtection="1">
      <alignment horizontal="left"/>
      <protection/>
    </xf>
    <xf numFmtId="3" fontId="4" fillId="0" borderId="11" xfId="0" applyNumberFormat="1" applyFont="1" applyBorder="1" applyAlignment="1" applyProtection="1">
      <alignment horizontal="right"/>
      <protection/>
    </xf>
    <xf numFmtId="165" fontId="4" fillId="0" borderId="14" xfId="44" applyFont="1" applyBorder="1">
      <alignment/>
      <protection/>
    </xf>
    <xf numFmtId="176" fontId="0" fillId="0" borderId="0" xfId="46" applyNumberFormat="1">
      <alignment/>
      <protection/>
    </xf>
    <xf numFmtId="171" fontId="4" fillId="0" borderId="0" xfId="46" applyNumberFormat="1" applyFont="1">
      <alignment/>
      <protection/>
    </xf>
    <xf numFmtId="176" fontId="4" fillId="0" borderId="0" xfId="44" applyNumberFormat="1" applyFont="1">
      <alignment/>
      <protection/>
    </xf>
    <xf numFmtId="176" fontId="0" fillId="0" borderId="0" xfId="44" applyNumberFormat="1">
      <alignment/>
      <protection/>
    </xf>
    <xf numFmtId="176" fontId="2" fillId="0" borderId="0" xfId="44" applyNumberFormat="1" applyFont="1">
      <alignment/>
      <protection/>
    </xf>
    <xf numFmtId="164" fontId="5" fillId="0" borderId="0" xfId="0" applyNumberFormat="1" applyFont="1" applyBorder="1" applyAlignment="1" applyProtection="1">
      <alignment horizontal="right"/>
      <protection/>
    </xf>
    <xf numFmtId="0" fontId="5" fillId="0" borderId="0" xfId="0" applyFont="1" applyBorder="1" applyAlignment="1" applyProtection="1">
      <alignment/>
      <protection/>
    </xf>
    <xf numFmtId="3" fontId="14" fillId="0" borderId="0" xfId="0" applyNumberFormat="1" applyFont="1" applyAlignment="1" applyProtection="1">
      <alignment/>
      <protection/>
    </xf>
    <xf numFmtId="177" fontId="6" fillId="0" borderId="0" xfId="0" applyNumberFormat="1" applyFont="1" applyAlignment="1" applyProtection="1">
      <alignment/>
      <protection/>
    </xf>
    <xf numFmtId="166" fontId="6" fillId="0" borderId="0" xfId="0" applyNumberFormat="1" applyFont="1" applyAlignment="1" applyProtection="1">
      <alignment/>
      <protection/>
    </xf>
    <xf numFmtId="3" fontId="12" fillId="0" borderId="0" xfId="0" applyNumberFormat="1" applyFont="1" applyAlignment="1" applyProtection="1">
      <alignment horizontal="left"/>
      <protection/>
    </xf>
    <xf numFmtId="171" fontId="0" fillId="0" borderId="0" xfId="65" applyAlignment="1">
      <alignment horizontal="left" vertical="top"/>
      <protection/>
    </xf>
    <xf numFmtId="3" fontId="0" fillId="0" borderId="0" xfId="0" applyNumberFormat="1" applyAlignment="1">
      <alignment vertical="top"/>
    </xf>
    <xf numFmtId="176" fontId="0" fillId="0" borderId="0" xfId="48" applyNumberFormat="1">
      <alignment/>
      <protection/>
    </xf>
    <xf numFmtId="176" fontId="0" fillId="0" borderId="0" xfId="48" applyNumberFormat="1" applyBorder="1">
      <alignment/>
      <protection/>
    </xf>
    <xf numFmtId="4" fontId="0" fillId="0" borderId="0" xfId="48" applyNumberFormat="1">
      <alignment/>
      <protection/>
    </xf>
    <xf numFmtId="3" fontId="19" fillId="0" borderId="0" xfId="0" applyNumberFormat="1" applyFont="1" applyAlignment="1">
      <alignment/>
    </xf>
    <xf numFmtId="171" fontId="17" fillId="0" borderId="0" xfId="65" applyFont="1" applyAlignment="1" applyProtection="1">
      <alignment vertical="top"/>
      <protection locked="0"/>
    </xf>
    <xf numFmtId="3" fontId="0" fillId="0" borderId="0" xfId="0" applyNumberFormat="1" applyAlignment="1" applyProtection="1">
      <alignment vertical="top"/>
      <protection locked="0"/>
    </xf>
    <xf numFmtId="171" fontId="21" fillId="0" borderId="0" xfId="65" applyFont="1" applyAlignment="1">
      <alignment horizontal="right" vertical="top"/>
      <protection/>
    </xf>
    <xf numFmtId="17" fontId="21" fillId="0" borderId="0" xfId="65" applyNumberFormat="1" applyFont="1" applyAlignment="1">
      <alignment horizontal="right" vertical="top"/>
      <protection/>
    </xf>
    <xf numFmtId="166" fontId="4" fillId="0" borderId="0" xfId="0" applyNumberFormat="1" applyFont="1" applyBorder="1" applyAlignment="1" applyProtection="1">
      <alignment horizontal="right"/>
      <protection/>
    </xf>
    <xf numFmtId="177" fontId="4" fillId="0" borderId="0" xfId="46" applyNumberFormat="1" applyFont="1">
      <alignment/>
      <protection/>
    </xf>
    <xf numFmtId="177" fontId="0" fillId="0" borderId="0" xfId="52" applyNumberFormat="1">
      <alignment/>
      <protection/>
    </xf>
    <xf numFmtId="1" fontId="0" fillId="0" borderId="0" xfId="46" applyNumberFormat="1" applyFont="1">
      <alignment/>
      <protection/>
    </xf>
    <xf numFmtId="172" fontId="4" fillId="0" borderId="0" xfId="46" applyNumberFormat="1" applyFont="1">
      <alignment/>
      <protection/>
    </xf>
    <xf numFmtId="2" fontId="4" fillId="0" borderId="0" xfId="46" applyNumberFormat="1" applyFont="1">
      <alignment/>
      <protection/>
    </xf>
    <xf numFmtId="3" fontId="11" fillId="0" borderId="0" xfId="0" applyNumberFormat="1" applyFont="1" applyAlignment="1" applyProtection="1">
      <alignment/>
      <protection/>
    </xf>
    <xf numFmtId="3" fontId="11" fillId="0" borderId="0" xfId="0" applyNumberFormat="1" applyFont="1" applyAlignment="1">
      <alignment/>
    </xf>
    <xf numFmtId="3" fontId="0" fillId="0" borderId="0" xfId="46" applyNumberFormat="1" applyFont="1">
      <alignment/>
      <protection/>
    </xf>
    <xf numFmtId="175" fontId="0" fillId="0" borderId="0" xfId="46" applyNumberFormat="1" applyFont="1">
      <alignment/>
      <protection/>
    </xf>
    <xf numFmtId="3" fontId="4" fillId="0" borderId="0" xfId="46" applyNumberFormat="1" applyFont="1">
      <alignment/>
      <protection/>
    </xf>
    <xf numFmtId="0" fontId="5" fillId="0" borderId="0" xfId="0" applyFont="1" applyAlignment="1" applyProtection="1">
      <alignment/>
      <protection/>
    </xf>
    <xf numFmtId="176" fontId="4" fillId="0" borderId="0" xfId="46" applyNumberFormat="1" applyFont="1">
      <alignment/>
      <protection/>
    </xf>
    <xf numFmtId="174" fontId="0" fillId="0" borderId="0" xfId="46" applyNumberFormat="1" applyFont="1">
      <alignment/>
      <protection/>
    </xf>
    <xf numFmtId="168" fontId="4" fillId="0" borderId="0" xfId="46" applyNumberFormat="1" applyFont="1">
      <alignment/>
      <protection/>
    </xf>
    <xf numFmtId="3" fontId="2" fillId="0" borderId="0" xfId="0" applyNumberFormat="1" applyFont="1" applyAlignment="1" applyProtection="1">
      <alignment/>
      <protection/>
    </xf>
    <xf numFmtId="3" fontId="0" fillId="0" borderId="0" xfId="0" applyNumberFormat="1" applyFont="1" applyAlignment="1" applyProtection="1">
      <alignment/>
      <protection/>
    </xf>
    <xf numFmtId="171" fontId="0" fillId="0" borderId="0" xfId="46" applyNumberFormat="1" applyFont="1">
      <alignment/>
      <protection/>
    </xf>
    <xf numFmtId="3" fontId="23" fillId="0" borderId="0" xfId="0" applyNumberFormat="1" applyFont="1" applyAlignment="1" applyProtection="1">
      <alignment/>
      <protection/>
    </xf>
    <xf numFmtId="9" fontId="0" fillId="0" borderId="0" xfId="0" applyNumberFormat="1" applyFont="1" applyAlignment="1" applyProtection="1">
      <alignment/>
      <protection/>
    </xf>
    <xf numFmtId="3" fontId="0" fillId="0" borderId="0" xfId="0" applyNumberFormat="1" applyFont="1" applyAlignment="1" applyProtection="1">
      <alignment/>
      <protection/>
    </xf>
    <xf numFmtId="170" fontId="5" fillId="0" borderId="0" xfId="0" applyNumberFormat="1" applyFont="1" applyBorder="1" applyAlignment="1" applyProtection="1">
      <alignment horizontal="right"/>
      <protection/>
    </xf>
    <xf numFmtId="170" fontId="0" fillId="0" borderId="0" xfId="0" applyNumberFormat="1" applyFont="1" applyAlignment="1" applyProtection="1">
      <alignment/>
      <protection/>
    </xf>
    <xf numFmtId="170" fontId="0" fillId="0" borderId="0" xfId="52" applyNumberFormat="1">
      <alignment/>
      <protection/>
    </xf>
    <xf numFmtId="170" fontId="4" fillId="0" borderId="0" xfId="46" applyNumberFormat="1" applyFont="1">
      <alignment/>
      <protection/>
    </xf>
    <xf numFmtId="170" fontId="4" fillId="0" borderId="0" xfId="0" applyNumberFormat="1" applyFont="1" applyAlignment="1" applyProtection="1">
      <alignment/>
      <protection/>
    </xf>
    <xf numFmtId="170" fontId="0" fillId="0" borderId="14" xfId="0" applyNumberFormat="1" applyFont="1" applyBorder="1" applyAlignment="1" applyProtection="1">
      <alignment/>
      <protection/>
    </xf>
    <xf numFmtId="170" fontId="0" fillId="0" borderId="0" xfId="46" applyNumberFormat="1">
      <alignment/>
      <protection/>
    </xf>
    <xf numFmtId="170" fontId="0" fillId="0" borderId="0" xfId="0" applyNumberFormat="1" applyFont="1" applyBorder="1" applyAlignment="1" applyProtection="1">
      <alignment/>
      <protection/>
    </xf>
    <xf numFmtId="170" fontId="7" fillId="0" borderId="0" xfId="0" applyNumberFormat="1" applyFont="1" applyAlignment="1">
      <alignment/>
    </xf>
    <xf numFmtId="2" fontId="0" fillId="0" borderId="0" xfId="0" applyNumberFormat="1" applyFont="1" applyAlignment="1" applyProtection="1">
      <alignment/>
      <protection/>
    </xf>
    <xf numFmtId="168" fontId="0" fillId="0" borderId="0" xfId="46" applyNumberFormat="1" applyFont="1">
      <alignment/>
      <protection/>
    </xf>
    <xf numFmtId="0" fontId="0" fillId="0" borderId="0" xfId="0" applyFont="1" applyBorder="1" applyAlignment="1">
      <alignment vertical="top"/>
    </xf>
    <xf numFmtId="9" fontId="0" fillId="0" borderId="0" xfId="52" applyNumberFormat="1">
      <alignment/>
      <protection/>
    </xf>
    <xf numFmtId="4" fontId="0" fillId="0" borderId="0" xfId="46" applyNumberFormat="1" applyFont="1">
      <alignment/>
      <protection/>
    </xf>
    <xf numFmtId="178" fontId="0" fillId="0" borderId="0" xfId="46" applyNumberFormat="1" applyFont="1">
      <alignment/>
      <protection/>
    </xf>
    <xf numFmtId="3" fontId="0" fillId="0" borderId="0" xfId="0" applyNumberFormat="1" applyFont="1" applyBorder="1" applyAlignment="1" applyProtection="1">
      <alignment/>
      <protection/>
    </xf>
    <xf numFmtId="177" fontId="2" fillId="0" borderId="0" xfId="46" applyNumberFormat="1" applyFont="1">
      <alignment/>
      <protection/>
    </xf>
    <xf numFmtId="176" fontId="4" fillId="0" borderId="0" xfId="52" applyNumberFormat="1" applyFont="1">
      <alignment/>
      <protection/>
    </xf>
    <xf numFmtId="170" fontId="4" fillId="0" borderId="0" xfId="52" applyNumberFormat="1" applyFont="1">
      <alignment/>
      <protection/>
    </xf>
    <xf numFmtId="3" fontId="4" fillId="0" borderId="11" xfId="0" applyNumberFormat="1" applyFont="1" applyBorder="1" applyAlignment="1" applyProtection="1">
      <alignment/>
      <protection/>
    </xf>
    <xf numFmtId="168" fontId="4" fillId="0" borderId="0" xfId="50" applyNumberFormat="1" applyFont="1">
      <alignment/>
      <protection/>
    </xf>
    <xf numFmtId="3" fontId="4" fillId="0" borderId="0" xfId="0" applyNumberFormat="1" applyFont="1" applyAlignment="1">
      <alignment/>
    </xf>
    <xf numFmtId="170" fontId="0" fillId="0" borderId="0" xfId="46" applyNumberFormat="1" applyFont="1">
      <alignment/>
      <protection/>
    </xf>
    <xf numFmtId="0" fontId="0" fillId="0" borderId="0" xfId="0" applyNumberFormat="1" applyFont="1" applyAlignment="1" applyProtection="1">
      <alignment/>
      <protection/>
    </xf>
    <xf numFmtId="4" fontId="4" fillId="0" borderId="0" xfId="46" applyNumberFormat="1" applyFont="1">
      <alignment/>
      <protection/>
    </xf>
    <xf numFmtId="169" fontId="0" fillId="0" borderId="0" xfId="46" applyNumberFormat="1" applyFont="1">
      <alignment/>
      <protection/>
    </xf>
    <xf numFmtId="171" fontId="6" fillId="0" borderId="0" xfId="47" applyNumberFormat="1" applyProtection="1">
      <alignment/>
      <protection/>
    </xf>
    <xf numFmtId="3" fontId="6" fillId="0" borderId="0" xfId="47" applyNumberFormat="1" applyProtection="1">
      <alignment/>
      <protection/>
    </xf>
    <xf numFmtId="167" fontId="6" fillId="0" borderId="0" xfId="53" applyNumberFormat="1" applyProtection="1">
      <alignment/>
      <protection/>
    </xf>
    <xf numFmtId="40" fontId="6" fillId="0" borderId="0" xfId="53" applyProtection="1">
      <alignment/>
      <protection/>
    </xf>
    <xf numFmtId="182" fontId="6" fillId="0" borderId="0" xfId="53" applyNumberFormat="1" applyProtection="1">
      <alignment/>
      <protection/>
    </xf>
    <xf numFmtId="176" fontId="4" fillId="0" borderId="0" xfId="48" applyNumberFormat="1" applyFont="1" applyProtection="1">
      <alignment/>
      <protection/>
    </xf>
    <xf numFmtId="176" fontId="4" fillId="0" borderId="0" xfId="44" applyNumberFormat="1" applyFont="1" applyProtection="1">
      <alignment/>
      <protection/>
    </xf>
    <xf numFmtId="3" fontId="4" fillId="0" borderId="0" xfId="44" applyNumberFormat="1" applyFont="1" applyProtection="1">
      <alignment/>
      <protection/>
    </xf>
    <xf numFmtId="38" fontId="6" fillId="0" borderId="0" xfId="49" applyProtection="1">
      <alignment/>
      <protection locked="0"/>
    </xf>
    <xf numFmtId="38" fontId="6" fillId="0" borderId="0" xfId="53" applyNumberFormat="1" applyProtection="1">
      <alignment/>
      <protection locked="0"/>
    </xf>
    <xf numFmtId="171" fontId="6" fillId="0" borderId="0" xfId="47" applyNumberFormat="1" applyProtection="1">
      <alignment/>
      <protection locked="0"/>
    </xf>
    <xf numFmtId="183" fontId="6" fillId="0" borderId="0" xfId="47" applyNumberFormat="1" applyProtection="1">
      <alignment/>
      <protection locked="0"/>
    </xf>
    <xf numFmtId="165" fontId="6" fillId="0" borderId="0" xfId="53" applyNumberFormat="1" applyProtection="1">
      <alignment/>
      <protection locked="0"/>
    </xf>
    <xf numFmtId="3" fontId="6" fillId="0" borderId="0" xfId="47" applyNumberFormat="1" applyProtection="1">
      <alignment/>
      <protection locked="0"/>
    </xf>
    <xf numFmtId="184" fontId="6" fillId="0" borderId="0" xfId="53" applyNumberFormat="1" applyProtection="1">
      <alignment/>
      <protection locked="0"/>
    </xf>
    <xf numFmtId="168" fontId="6" fillId="0" borderId="0" xfId="47" applyNumberFormat="1" applyProtection="1">
      <alignment/>
      <protection locked="0"/>
    </xf>
    <xf numFmtId="167" fontId="6" fillId="0" borderId="0" xfId="53" applyNumberFormat="1" applyProtection="1">
      <alignment/>
      <protection locked="0"/>
    </xf>
    <xf numFmtId="179" fontId="6" fillId="0" borderId="0" xfId="53" applyNumberFormat="1" applyProtection="1">
      <alignment/>
      <protection locked="0"/>
    </xf>
    <xf numFmtId="182" fontId="6" fillId="0" borderId="0" xfId="53" applyNumberFormat="1" applyProtection="1">
      <alignment/>
      <protection locked="0"/>
    </xf>
    <xf numFmtId="176" fontId="6" fillId="0" borderId="0" xfId="47" applyNumberFormat="1" applyProtection="1">
      <alignment/>
      <protection locked="0"/>
    </xf>
    <xf numFmtId="176" fontId="6" fillId="0" borderId="0" xfId="45" applyNumberFormat="1" applyProtection="1">
      <alignment/>
      <protection locked="0"/>
    </xf>
    <xf numFmtId="176" fontId="6" fillId="0" borderId="0" xfId="44" applyNumberFormat="1" applyFont="1" applyProtection="1">
      <alignment/>
      <protection locked="0"/>
    </xf>
    <xf numFmtId="40" fontId="6" fillId="0" borderId="0" xfId="49" applyNumberFormat="1" applyProtection="1">
      <alignment/>
      <protection locked="0"/>
    </xf>
    <xf numFmtId="40" fontId="6" fillId="0" borderId="0" xfId="53" applyNumberFormat="1" applyProtection="1">
      <alignment/>
      <protection locked="0"/>
    </xf>
    <xf numFmtId="173" fontId="0" fillId="0" borderId="0" xfId="0" applyNumberFormat="1" applyFont="1" applyAlignment="1" applyProtection="1">
      <alignment/>
      <protection/>
    </xf>
    <xf numFmtId="167" fontId="6" fillId="0" borderId="0" xfId="53" applyNumberFormat="1" applyFont="1" applyProtection="1">
      <alignment/>
      <protection locked="0"/>
    </xf>
    <xf numFmtId="171"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171" fontId="4" fillId="0" borderId="0" xfId="0" applyNumberFormat="1" applyFont="1" applyBorder="1" applyAlignment="1" applyProtection="1">
      <alignment/>
      <protection/>
    </xf>
    <xf numFmtId="176" fontId="4" fillId="0" borderId="0" xfId="0" applyNumberFormat="1" applyFont="1" applyBorder="1" applyAlignment="1" applyProtection="1">
      <alignment/>
      <protection/>
    </xf>
    <xf numFmtId="167" fontId="6" fillId="0" borderId="0" xfId="53" applyNumberFormat="1" applyFill="1" applyProtection="1">
      <alignment/>
      <protection locked="0"/>
    </xf>
    <xf numFmtId="185" fontId="6" fillId="0" borderId="0" xfId="47" applyNumberFormat="1" applyProtection="1">
      <alignment/>
      <protection locked="0"/>
    </xf>
    <xf numFmtId="170" fontId="0" fillId="0" borderId="11" xfId="52" applyNumberFormat="1" applyFont="1" applyBorder="1">
      <alignment/>
      <protection/>
    </xf>
    <xf numFmtId="176" fontId="0" fillId="0" borderId="11" xfId="48" applyNumberFormat="1" applyFont="1" applyBorder="1">
      <alignment/>
      <protection/>
    </xf>
    <xf numFmtId="170" fontId="4" fillId="0" borderId="11" xfId="46" applyNumberFormat="1" applyFont="1" applyBorder="1">
      <alignment/>
      <protection/>
    </xf>
    <xf numFmtId="176" fontId="4" fillId="0" borderId="11" xfId="44" applyNumberFormat="1" applyFont="1" applyBorder="1">
      <alignment/>
      <protection/>
    </xf>
    <xf numFmtId="170" fontId="4" fillId="0" borderId="11" xfId="0" applyNumberFormat="1" applyFont="1" applyBorder="1" applyAlignment="1" applyProtection="1">
      <alignment horizontal="center"/>
      <protection/>
    </xf>
    <xf numFmtId="171" fontId="0" fillId="0" borderId="11" xfId="0" applyNumberFormat="1" applyFont="1" applyBorder="1" applyAlignment="1" applyProtection="1">
      <alignment/>
      <protection/>
    </xf>
    <xf numFmtId="176" fontId="0" fillId="0" borderId="11" xfId="0" applyNumberFormat="1" applyFont="1" applyBorder="1" applyAlignment="1" applyProtection="1">
      <alignment/>
      <protection/>
    </xf>
    <xf numFmtId="170" fontId="4" fillId="0" borderId="15" xfId="0" applyNumberFormat="1" applyFont="1" applyBorder="1" applyAlignment="1" applyProtection="1">
      <alignment horizontal="right"/>
      <protection/>
    </xf>
    <xf numFmtId="3" fontId="4" fillId="0" borderId="15" xfId="0" applyNumberFormat="1" applyFont="1" applyBorder="1" applyAlignment="1" applyProtection="1">
      <alignment horizontal="right"/>
      <protection/>
    </xf>
    <xf numFmtId="177" fontId="0" fillId="0" borderId="11" xfId="48" applyNumberFormat="1" applyFont="1" applyBorder="1">
      <alignment/>
      <protection/>
    </xf>
    <xf numFmtId="174" fontId="0" fillId="0" borderId="11" xfId="46" applyNumberFormat="1" applyFont="1" applyBorder="1">
      <alignment/>
      <protection/>
    </xf>
    <xf numFmtId="2" fontId="0" fillId="0" borderId="11" xfId="46" applyNumberFormat="1" applyFont="1" applyBorder="1">
      <alignment/>
      <protection/>
    </xf>
    <xf numFmtId="4" fontId="0" fillId="0" borderId="11" xfId="46" applyNumberFormat="1" applyFont="1" applyBorder="1">
      <alignment/>
      <protection/>
    </xf>
    <xf numFmtId="9" fontId="0" fillId="0" borderId="11" xfId="46" applyNumberFormat="1" applyFont="1" applyBorder="1">
      <alignment/>
      <protection/>
    </xf>
    <xf numFmtId="171" fontId="0" fillId="0" borderId="11" xfId="46" applyNumberFormat="1" applyFont="1" applyBorder="1">
      <alignment/>
      <protection/>
    </xf>
    <xf numFmtId="176" fontId="4" fillId="0" borderId="11" xfId="46" applyNumberFormat="1" applyFont="1" applyBorder="1">
      <alignment/>
      <protection/>
    </xf>
    <xf numFmtId="3" fontId="0" fillId="0" borderId="11" xfId="46" applyNumberFormat="1" applyFont="1" applyBorder="1">
      <alignment/>
      <protection/>
    </xf>
    <xf numFmtId="178" fontId="0" fillId="0" borderId="11" xfId="0" applyNumberFormat="1" applyFont="1" applyBorder="1" applyAlignment="1" applyProtection="1">
      <alignment/>
      <protection/>
    </xf>
    <xf numFmtId="176" fontId="0" fillId="0" borderId="11" xfId="52" applyNumberFormat="1" applyFont="1" applyBorder="1">
      <alignment/>
      <protection/>
    </xf>
    <xf numFmtId="4" fontId="0" fillId="0" borderId="11" xfId="52" applyNumberFormat="1" applyFont="1" applyBorder="1">
      <alignment/>
      <protection/>
    </xf>
    <xf numFmtId="170" fontId="0" fillId="0" borderId="11" xfId="46" applyNumberFormat="1" applyFont="1" applyBorder="1">
      <alignment/>
      <protection/>
    </xf>
    <xf numFmtId="169" fontId="0" fillId="0" borderId="11" xfId="46" applyNumberFormat="1" applyFont="1" applyBorder="1">
      <alignment/>
      <protection/>
    </xf>
    <xf numFmtId="176" fontId="0" fillId="0" borderId="11" xfId="46" applyNumberFormat="1" applyFont="1" applyBorder="1">
      <alignment/>
      <protection/>
    </xf>
    <xf numFmtId="3" fontId="4" fillId="0" borderId="0" xfId="0" applyNumberFormat="1" applyFont="1" applyAlignment="1" applyProtection="1" quotePrefix="1">
      <alignment horizontal="left"/>
      <protection/>
    </xf>
    <xf numFmtId="3" fontId="3" fillId="0" borderId="0" xfId="0" applyNumberFormat="1" applyFont="1" applyAlignment="1" applyProtection="1">
      <alignment/>
      <protection/>
    </xf>
    <xf numFmtId="176" fontId="6" fillId="0" borderId="11" xfId="45" applyNumberFormat="1" applyFont="1" applyBorder="1" applyProtection="1">
      <alignment/>
      <protection locked="0"/>
    </xf>
    <xf numFmtId="38" fontId="6" fillId="0" borderId="0" xfId="49" applyFont="1" applyBorder="1" applyProtection="1">
      <alignment/>
      <protection locked="0"/>
    </xf>
    <xf numFmtId="3" fontId="0" fillId="0" borderId="0" xfId="0" applyNumberFormat="1" applyFont="1" applyAlignment="1" applyProtection="1">
      <alignment horizontal="right"/>
      <protection/>
    </xf>
    <xf numFmtId="3" fontId="2" fillId="0" borderId="0" xfId="0" applyNumberFormat="1" applyFont="1" applyAlignment="1" applyProtection="1">
      <alignment horizontal="right"/>
      <protection/>
    </xf>
    <xf numFmtId="0" fontId="4" fillId="0" borderId="0" xfId="42" applyNumberFormat="1" applyFont="1" applyAlignment="1" applyProtection="1">
      <alignment/>
      <protection/>
    </xf>
    <xf numFmtId="3" fontId="4" fillId="0" borderId="0" xfId="0" applyNumberFormat="1" applyFont="1" applyAlignment="1" applyProtection="1" quotePrefix="1">
      <alignment horizontal="center"/>
      <protection/>
    </xf>
    <xf numFmtId="0" fontId="0" fillId="0" borderId="11" xfId="48" applyNumberFormat="1" applyFont="1" applyBorder="1">
      <alignment/>
      <protection/>
    </xf>
    <xf numFmtId="0" fontId="0" fillId="0" borderId="11" xfId="54" applyNumberFormat="1" applyFont="1" applyBorder="1" applyAlignment="1">
      <alignment/>
    </xf>
    <xf numFmtId="0" fontId="4" fillId="0" borderId="0" xfId="0" applyFont="1" applyAlignment="1" applyProtection="1" quotePrefix="1">
      <alignment/>
      <protection/>
    </xf>
    <xf numFmtId="176" fontId="4" fillId="0" borderId="13" xfId="46" applyNumberFormat="1" applyFont="1" applyBorder="1">
      <alignment/>
      <protection/>
    </xf>
    <xf numFmtId="3" fontId="0" fillId="0" borderId="11" xfId="0" applyNumberFormat="1" applyFont="1" applyBorder="1" applyAlignment="1" applyProtection="1">
      <alignment horizontal="right"/>
      <protection/>
    </xf>
    <xf numFmtId="0" fontId="0" fillId="0" borderId="11" xfId="0" applyFont="1" applyBorder="1" applyAlignment="1" applyProtection="1">
      <alignment horizontal="right"/>
      <protection/>
    </xf>
    <xf numFmtId="3" fontId="0" fillId="0" borderId="11" xfId="0" applyNumberFormat="1" applyBorder="1" applyAlignment="1" applyProtection="1">
      <alignment/>
      <protection/>
    </xf>
    <xf numFmtId="3" fontId="13" fillId="0" borderId="0" xfId="0" applyNumberFormat="1" applyFont="1" applyAlignment="1" applyProtection="1">
      <alignment vertical="center" wrapText="1"/>
      <protection/>
    </xf>
    <xf numFmtId="171" fontId="4" fillId="0" borderId="0" xfId="0" applyNumberFormat="1" applyFont="1" applyAlignment="1">
      <alignment/>
    </xf>
    <xf numFmtId="3" fontId="4" fillId="0" borderId="0" xfId="0" applyNumberFormat="1" applyFont="1" applyBorder="1" applyAlignment="1" applyProtection="1">
      <alignment/>
      <protection/>
    </xf>
    <xf numFmtId="171" fontId="22" fillId="0" borderId="0" xfId="65" applyFont="1" applyAlignment="1">
      <alignment horizontal="left" vertical="top" wrapText="1"/>
      <protection/>
    </xf>
    <xf numFmtId="171" fontId="24" fillId="0" borderId="0" xfId="65" applyFont="1" applyAlignment="1">
      <alignment horizontal="left" vertical="top" wrapText="1"/>
      <protection/>
    </xf>
    <xf numFmtId="1" fontId="22" fillId="0" borderId="0" xfId="65" applyNumberFormat="1" applyFont="1" applyAlignment="1">
      <alignment horizontal="left" vertical="top" wrapText="1"/>
      <protection/>
    </xf>
    <xf numFmtId="171" fontId="21" fillId="0" borderId="0" xfId="65" applyFont="1" applyAlignment="1">
      <alignment vertical="top" wrapText="1"/>
      <protection/>
    </xf>
    <xf numFmtId="3" fontId="20" fillId="0" borderId="0" xfId="0" applyNumberFormat="1" applyFont="1" applyAlignment="1">
      <alignment vertical="top" wrapText="1"/>
    </xf>
    <xf numFmtId="171" fontId="20" fillId="0" borderId="0" xfId="65" applyFont="1" applyAlignment="1">
      <alignment vertical="top" wrapText="1"/>
      <protection/>
    </xf>
    <xf numFmtId="171" fontId="20" fillId="0" borderId="0" xfId="65" applyFont="1" applyAlignment="1">
      <alignment horizontal="left" vertical="top" wrapText="1"/>
      <protection/>
    </xf>
    <xf numFmtId="3" fontId="25" fillId="0" borderId="0" xfId="0" applyNumberFormat="1" applyFont="1" applyAlignment="1" applyProtection="1">
      <alignment horizontal="center"/>
      <protection/>
    </xf>
    <xf numFmtId="3" fontId="26" fillId="0" borderId="0" xfId="0" applyNumberFormat="1" applyFont="1" applyAlignment="1" applyProtection="1">
      <alignment/>
      <protection/>
    </xf>
    <xf numFmtId="3" fontId="16" fillId="0" borderId="0" xfId="0" applyNumberFormat="1" applyFont="1" applyAlignment="1">
      <alignment vertical="top" wrapText="1"/>
    </xf>
    <xf numFmtId="3" fontId="0" fillId="0" borderId="0" xfId="0" applyNumberFormat="1" applyAlignment="1">
      <alignment vertical="top" wrapText="1"/>
    </xf>
    <xf numFmtId="3" fontId="13" fillId="0" borderId="12" xfId="0" applyNumberFormat="1" applyFont="1" applyBorder="1" applyAlignment="1" applyProtection="1">
      <alignment horizontal="center" vertical="center" wrapText="1"/>
      <protection/>
    </xf>
    <xf numFmtId="3" fontId="13" fillId="0" borderId="11" xfId="0" applyNumberFormat="1" applyFont="1" applyBorder="1" applyAlignment="1" applyProtection="1">
      <alignment horizontal="center" vertical="center" wrapText="1"/>
      <protection/>
    </xf>
    <xf numFmtId="166" fontId="3" fillId="0" borderId="0" xfId="0" applyNumberFormat="1" applyFont="1" applyAlignment="1" applyProtection="1">
      <alignment horizontal="center"/>
      <protection/>
    </xf>
    <xf numFmtId="3" fontId="3" fillId="0" borderId="0" xfId="0" applyNumberFormat="1" applyFont="1" applyAlignment="1" applyProtection="1">
      <alignment horizontal="center"/>
      <protection/>
    </xf>
    <xf numFmtId="3" fontId="5" fillId="0" borderId="0" xfId="0" applyNumberFormat="1" applyFont="1" applyAlignment="1" applyProtection="1">
      <alignment horizontal="center"/>
      <protection/>
    </xf>
    <xf numFmtId="3" fontId="2" fillId="0" borderId="0" xfId="0" applyNumberFormat="1" applyFont="1" applyAlignment="1" applyProtection="1">
      <alignment horizontal="center"/>
      <protection/>
    </xf>
    <xf numFmtId="166" fontId="5" fillId="0" borderId="0" xfId="0" applyNumberFormat="1" applyFont="1" applyAlignment="1" applyProtection="1">
      <alignment horizontal="center"/>
      <protection/>
    </xf>
    <xf numFmtId="3" fontId="0" fillId="0" borderId="0" xfId="0" applyNumberFormat="1" applyAlignment="1" applyProtection="1">
      <alignment horizontal="center"/>
      <protection/>
    </xf>
    <xf numFmtId="3" fontId="0" fillId="0" borderId="0" xfId="0" applyNumberFormat="1" applyAlignment="1">
      <alignment/>
    </xf>
    <xf numFmtId="0" fontId="3" fillId="0" borderId="0" xfId="0" applyFont="1" applyAlignment="1" applyProtection="1">
      <alignment horizontal="center"/>
      <protection/>
    </xf>
    <xf numFmtId="3" fontId="0" fillId="0" borderId="0" xfId="0" applyNumberFormat="1" applyFont="1" applyAlignment="1" applyProtection="1">
      <alignment horizontal="center"/>
      <protection/>
    </xf>
    <xf numFmtId="3" fontId="11" fillId="0" borderId="0" xfId="0" applyNumberFormat="1" applyFont="1" applyAlignment="1" applyProtection="1">
      <alignment horizontal="center"/>
      <protection/>
    </xf>
    <xf numFmtId="3" fontId="7" fillId="0" borderId="0" xfId="0" applyNumberFormat="1" applyFont="1" applyAlignment="1">
      <alignment horizontal="center"/>
    </xf>
    <xf numFmtId="3" fontId="4" fillId="0" borderId="11" xfId="0" applyNumberFormat="1" applyFont="1" applyBorder="1" applyAlignment="1" applyProtection="1">
      <alignment horizontal="center"/>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_Farrow-Wean 500" xfId="65"/>
    <cellStyle name="Note" xfId="66"/>
    <cellStyle name="Num (1,234) L Black" xfId="67"/>
    <cellStyle name="Num (1,234) U Blue" xfId="68"/>
    <cellStyle name="Num (1,234.0) L Black" xfId="69"/>
    <cellStyle name="Num (1,234.0) U Blue" xfId="70"/>
    <cellStyle name="Num (1,234.10) L Black" xfId="71"/>
    <cellStyle name="Num (1,234.10) U Blue" xfId="72"/>
    <cellStyle name="Output" xfId="73"/>
    <cellStyle name="Percent" xfId="74"/>
    <cellStyle name="Percent 00.00% L Black" xfId="75"/>
    <cellStyle name="Percent 00.00% U Blue" xfId="76"/>
    <cellStyle name="Standard_Anpassen der Amortisation" xfId="77"/>
    <cellStyle name="Title" xfId="78"/>
    <cellStyle name="Total" xfId="79"/>
    <cellStyle name="Währung [0]_Compiling Utility Macros" xfId="80"/>
    <cellStyle name="Währung_Compiling Utility Macros"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B1:I33"/>
  <sheetViews>
    <sheetView showGridLines="0" tabSelected="1" zoomScalePageLayoutView="0" workbookViewId="0" topLeftCell="A1">
      <selection activeCell="A1" sqref="A1"/>
    </sheetView>
  </sheetViews>
  <sheetFormatPr defaultColWidth="8.88671875" defaultRowHeight="15"/>
  <cols>
    <col min="1" max="1" width="6.88671875" style="1" customWidth="1"/>
    <col min="2" max="2" width="9.3359375" style="1" customWidth="1"/>
    <col min="3" max="16384" width="8.88671875" style="1" customWidth="1"/>
  </cols>
  <sheetData>
    <row r="1" spans="2:9" ht="21" customHeight="1">
      <c r="B1" s="185" t="s">
        <v>54</v>
      </c>
      <c r="C1" s="185"/>
      <c r="D1" s="185"/>
      <c r="E1" s="185"/>
      <c r="F1" s="185"/>
      <c r="G1" s="185"/>
      <c r="H1" s="185"/>
      <c r="I1" s="185"/>
    </row>
    <row r="2" spans="2:9" ht="27" customHeight="1">
      <c r="B2" s="186" t="s">
        <v>227</v>
      </c>
      <c r="C2" s="186"/>
      <c r="D2" s="186"/>
      <c r="E2" s="186"/>
      <c r="F2" s="186"/>
      <c r="G2" s="186"/>
      <c r="H2" s="186"/>
      <c r="I2" s="186"/>
    </row>
    <row r="3" spans="2:9" ht="30.75" customHeight="1">
      <c r="B3" s="187" t="str">
        <f>"Based on "&amp;Input!E13&amp;",000 Litres per year"</f>
        <v>Based on 15,000 Litres per year</v>
      </c>
      <c r="C3" s="187"/>
      <c r="D3" s="187"/>
      <c r="E3" s="187"/>
      <c r="F3" s="187"/>
      <c r="G3" s="187"/>
      <c r="H3" s="187"/>
      <c r="I3" s="187"/>
    </row>
    <row r="4" ht="21.75" customHeight="1"/>
    <row r="5" ht="20.25" customHeight="1"/>
    <row r="6" spans="7:9" ht="21" customHeight="1">
      <c r="G6" s="63" t="s">
        <v>53</v>
      </c>
      <c r="I6" s="64" t="s">
        <v>269</v>
      </c>
    </row>
    <row r="10" spans="5:7" ht="15">
      <c r="E10" s="62"/>
      <c r="G10" s="55"/>
    </row>
    <row r="11" spans="2:9" ht="15">
      <c r="B11" s="61"/>
      <c r="C11" s="62"/>
      <c r="D11" s="62"/>
      <c r="E11" s="62"/>
      <c r="F11" s="62"/>
      <c r="G11" s="62"/>
      <c r="H11" s="62"/>
      <c r="I11" s="62"/>
    </row>
    <row r="12" spans="2:9" ht="15">
      <c r="B12" s="62"/>
      <c r="C12" s="62"/>
      <c r="D12" s="62"/>
      <c r="E12" s="62"/>
      <c r="F12" s="62"/>
      <c r="G12" s="62"/>
      <c r="H12" s="62"/>
      <c r="I12" s="62"/>
    </row>
    <row r="13" spans="2:9" ht="15">
      <c r="B13" s="62"/>
      <c r="C13" s="62"/>
      <c r="D13" s="62"/>
      <c r="E13" s="62"/>
      <c r="F13" s="62"/>
      <c r="G13" s="62"/>
      <c r="H13" s="62"/>
      <c r="I13" s="62"/>
    </row>
    <row r="14" ht="15">
      <c r="B14" s="2"/>
    </row>
    <row r="15" spans="2:9" ht="15" customHeight="1">
      <c r="B15" s="191" t="s">
        <v>238</v>
      </c>
      <c r="C15" s="191"/>
      <c r="D15" s="191"/>
      <c r="E15" s="191"/>
      <c r="F15" s="191"/>
      <c r="G15" s="191"/>
      <c r="H15" s="191"/>
      <c r="I15" s="191"/>
    </row>
    <row r="16" spans="2:9" ht="15">
      <c r="B16" s="191"/>
      <c r="C16" s="191"/>
      <c r="D16" s="191"/>
      <c r="E16" s="191"/>
      <c r="F16" s="191"/>
      <c r="G16" s="191"/>
      <c r="H16" s="191"/>
      <c r="I16" s="191"/>
    </row>
    <row r="17" spans="2:9" ht="18.75" customHeight="1">
      <c r="B17" s="191"/>
      <c r="C17" s="191"/>
      <c r="D17" s="191"/>
      <c r="E17" s="191"/>
      <c r="F17" s="191"/>
      <c r="G17" s="191"/>
      <c r="H17" s="191"/>
      <c r="I17" s="191"/>
    </row>
    <row r="18" spans="2:9" ht="18.75" customHeight="1">
      <c r="B18" s="191"/>
      <c r="C18" s="191"/>
      <c r="D18" s="191"/>
      <c r="E18" s="191"/>
      <c r="F18" s="191"/>
      <c r="G18" s="191"/>
      <c r="H18" s="191"/>
      <c r="I18" s="191"/>
    </row>
    <row r="19" spans="2:9" ht="18.75" customHeight="1">
      <c r="B19" s="191"/>
      <c r="C19" s="191"/>
      <c r="D19" s="191"/>
      <c r="E19" s="191"/>
      <c r="F19" s="191"/>
      <c r="G19" s="191"/>
      <c r="H19" s="191"/>
      <c r="I19" s="191"/>
    </row>
    <row r="20" spans="2:9" ht="15">
      <c r="B20" s="56"/>
      <c r="C20" s="56"/>
      <c r="D20" s="56"/>
      <c r="E20" s="56"/>
      <c r="F20" s="56"/>
      <c r="G20" s="56"/>
      <c r="H20" s="56"/>
      <c r="I20" s="56"/>
    </row>
    <row r="21" spans="2:9" ht="15">
      <c r="B21" s="190" t="s">
        <v>231</v>
      </c>
      <c r="C21" s="190"/>
      <c r="D21" s="190"/>
      <c r="E21" s="190"/>
      <c r="F21" s="190"/>
      <c r="G21" s="190"/>
      <c r="H21" s="190"/>
      <c r="I21" s="189"/>
    </row>
    <row r="22" spans="2:9" ht="15">
      <c r="B22" s="190"/>
      <c r="C22" s="190"/>
      <c r="D22" s="190"/>
      <c r="E22" s="190"/>
      <c r="F22" s="190"/>
      <c r="G22" s="190"/>
      <c r="H22" s="190"/>
      <c r="I22" s="189"/>
    </row>
    <row r="23" spans="2:9" ht="15">
      <c r="B23" s="190"/>
      <c r="C23" s="190"/>
      <c r="D23" s="190"/>
      <c r="E23" s="190"/>
      <c r="F23" s="190"/>
      <c r="G23" s="190"/>
      <c r="H23" s="190"/>
      <c r="I23" s="189"/>
    </row>
    <row r="24" spans="2:9" ht="15" customHeight="1">
      <c r="B24" s="190"/>
      <c r="C24" s="190"/>
      <c r="D24" s="190"/>
      <c r="E24" s="190"/>
      <c r="F24" s="190"/>
      <c r="G24" s="190"/>
      <c r="H24" s="190"/>
      <c r="I24" s="189"/>
    </row>
    <row r="25" spans="2:9" ht="15" customHeight="1">
      <c r="B25" s="190"/>
      <c r="C25" s="190"/>
      <c r="D25" s="190"/>
      <c r="E25" s="190"/>
      <c r="F25" s="190"/>
      <c r="G25" s="190"/>
      <c r="H25" s="190"/>
      <c r="I25" s="189"/>
    </row>
    <row r="26" spans="2:9" ht="15" customHeight="1">
      <c r="B26" s="56"/>
      <c r="C26" s="56"/>
      <c r="D26" s="56"/>
      <c r="E26" s="56"/>
      <c r="F26" s="56"/>
      <c r="G26" s="56"/>
      <c r="H26" s="56"/>
      <c r="I26" s="56"/>
    </row>
    <row r="27" spans="2:9" ht="15">
      <c r="B27" s="188" t="s">
        <v>63</v>
      </c>
      <c r="C27" s="189"/>
      <c r="D27" s="189"/>
      <c r="E27" s="189"/>
      <c r="F27" s="189"/>
      <c r="G27" s="189"/>
      <c r="H27" s="189"/>
      <c r="I27" s="189"/>
    </row>
    <row r="28" spans="2:9" ht="15">
      <c r="B28" s="189"/>
      <c r="C28" s="189"/>
      <c r="D28" s="189"/>
      <c r="E28" s="189"/>
      <c r="F28" s="189"/>
      <c r="G28" s="189"/>
      <c r="H28" s="189"/>
      <c r="I28" s="189"/>
    </row>
    <row r="29" spans="2:9" ht="15">
      <c r="B29" s="189"/>
      <c r="C29" s="189"/>
      <c r="D29" s="189"/>
      <c r="E29" s="189"/>
      <c r="F29" s="189"/>
      <c r="G29" s="189"/>
      <c r="H29" s="189"/>
      <c r="I29" s="189"/>
    </row>
    <row r="30" spans="2:9" ht="15">
      <c r="B30" s="189"/>
      <c r="C30" s="189"/>
      <c r="D30" s="189"/>
      <c r="E30" s="189"/>
      <c r="F30" s="189"/>
      <c r="G30" s="189"/>
      <c r="H30" s="189"/>
      <c r="I30" s="189"/>
    </row>
    <row r="31" spans="2:9" ht="15">
      <c r="B31" s="189"/>
      <c r="C31" s="189"/>
      <c r="D31" s="189"/>
      <c r="E31" s="189"/>
      <c r="F31" s="189"/>
      <c r="G31" s="189"/>
      <c r="H31" s="189"/>
      <c r="I31" s="189"/>
    </row>
    <row r="32" spans="2:9" ht="15">
      <c r="B32" s="189"/>
      <c r="C32" s="189"/>
      <c r="D32" s="189"/>
      <c r="E32" s="189"/>
      <c r="F32" s="189"/>
      <c r="G32" s="189"/>
      <c r="H32" s="189"/>
      <c r="I32" s="189"/>
    </row>
    <row r="33" spans="2:9" ht="15">
      <c r="B33" s="189"/>
      <c r="C33" s="189"/>
      <c r="D33" s="189"/>
      <c r="E33" s="189"/>
      <c r="F33" s="189"/>
      <c r="G33" s="189"/>
      <c r="H33" s="189"/>
      <c r="I33" s="189"/>
    </row>
  </sheetData>
  <sheetProtection password="C6A6" sheet="1" objects="1" scenarios="1"/>
  <mergeCells count="6">
    <mergeCell ref="B1:I1"/>
    <mergeCell ref="B2:I2"/>
    <mergeCell ref="B3:I3"/>
    <mergeCell ref="B27:I33"/>
    <mergeCell ref="B21:I25"/>
    <mergeCell ref="B15:I19"/>
  </mergeCells>
  <printOptions/>
  <pageMargins left="0.7480314960629921" right="0.7480314960629921" top="0.8661417322834646" bottom="0.984251968503937" header="0.5118110236220472" footer="0.5118110236220472"/>
  <pageSetup horizontalDpi="600" verticalDpi="600" orientation="portrait" scale="95"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J64"/>
  <sheetViews>
    <sheetView showGridLines="0" zoomScalePageLayoutView="0" workbookViewId="0" topLeftCell="A1">
      <selection activeCell="A1" sqref="A1"/>
    </sheetView>
  </sheetViews>
  <sheetFormatPr defaultColWidth="8.88671875" defaultRowHeight="15" customHeight="1"/>
  <cols>
    <col min="1" max="1" width="0.9921875" style="15" customWidth="1"/>
    <col min="2" max="2" width="12.21484375" style="15" customWidth="1"/>
    <col min="3" max="3" width="8.88671875" style="15" customWidth="1"/>
    <col min="4" max="4" width="10.21484375" style="15" customWidth="1"/>
    <col min="5" max="5" width="7.77734375" style="15" customWidth="1"/>
    <col min="6" max="6" width="10.99609375" style="94" customWidth="1"/>
    <col min="7" max="7" width="6.99609375" style="15" customWidth="1"/>
    <col min="8" max="8" width="11.10546875" style="15" customWidth="1"/>
    <col min="9" max="9" width="3.77734375" style="15" customWidth="1"/>
    <col min="10" max="10" width="9.5546875" style="15" customWidth="1"/>
    <col min="11" max="11" width="7.21484375" style="15" customWidth="1"/>
    <col min="12" max="16384" width="8.88671875" style="15" customWidth="1"/>
  </cols>
  <sheetData>
    <row r="2" spans="2:10" ht="17.25" customHeight="1">
      <c r="B2" s="192" t="str">
        <f>"Biodiesel Production Costs - Farm Fuel                     "&amp;Introduction!I6&amp;""</f>
        <v>Biodiesel Production Costs - Farm Fuel                     May, 2011</v>
      </c>
      <c r="C2" s="193"/>
      <c r="D2" s="193"/>
      <c r="E2" s="193"/>
      <c r="F2" s="193"/>
      <c r="G2" s="193"/>
      <c r="H2" s="193"/>
      <c r="I2" s="193"/>
      <c r="J2" s="193"/>
    </row>
    <row r="3" spans="4:10" ht="18.75" customHeight="1">
      <c r="D3" s="196" t="str">
        <f>"Based on "&amp;Input!E13&amp;",000 Litres and Canola Production Costs of $"&amp;Input!E30&amp;" per Acre and Yield of "&amp;Input!E31&amp;" bushels per Acre"</f>
        <v>Based on 15,000 Litres and Canola Production Costs of $256.23 per Acre and Yield of 39 bushels per Acre</v>
      </c>
      <c r="E3" s="196"/>
      <c r="F3" s="196"/>
      <c r="G3" s="196"/>
      <c r="H3" s="196"/>
      <c r="I3" s="182"/>
      <c r="J3" s="71"/>
    </row>
    <row r="4" spans="3:10" ht="15" customHeight="1">
      <c r="C4" s="182"/>
      <c r="D4" s="197"/>
      <c r="E4" s="197"/>
      <c r="F4" s="197"/>
      <c r="G4" s="197"/>
      <c r="H4" s="197"/>
      <c r="I4" s="182"/>
      <c r="J4" s="71"/>
    </row>
    <row r="5" s="168" customFormat="1" ht="7.5" customHeight="1"/>
    <row r="6" spans="2:10" ht="15" customHeight="1">
      <c r="B6" s="4" t="s">
        <v>15</v>
      </c>
      <c r="C6" s="17"/>
      <c r="D6" s="17"/>
      <c r="E6" s="17"/>
      <c r="F6" s="86" t="s">
        <v>87</v>
      </c>
      <c r="G6" s="34" t="s">
        <v>0</v>
      </c>
      <c r="H6" s="49" t="s">
        <v>52</v>
      </c>
      <c r="I6" s="35"/>
      <c r="J6" s="42" t="s">
        <v>14</v>
      </c>
    </row>
    <row r="7" spans="2:10" ht="15" customHeight="1">
      <c r="B7" s="4" t="s">
        <v>89</v>
      </c>
      <c r="C7" s="17"/>
      <c r="D7" s="17"/>
      <c r="E7" s="17"/>
      <c r="F7" s="87"/>
      <c r="G7" s="17"/>
      <c r="H7" s="29"/>
      <c r="I7" s="29"/>
      <c r="J7" s="17"/>
    </row>
    <row r="8" spans="2:10" ht="15" customHeight="1">
      <c r="B8" s="17" t="s">
        <v>110</v>
      </c>
      <c r="C8" s="17"/>
      <c r="D8" s="17"/>
      <c r="E8" s="17"/>
      <c r="F8" s="88">
        <f>SUM(H8/(Input!E13*1000))</f>
        <v>0.32311482566277766</v>
      </c>
      <c r="G8" s="17"/>
      <c r="H8" s="57">
        <f>Details!F57</f>
        <v>4846.722384941665</v>
      </c>
      <c r="I8" s="27"/>
      <c r="J8" s="20"/>
    </row>
    <row r="9" spans="2:10" ht="15" customHeight="1">
      <c r="B9" s="17" t="s">
        <v>88</v>
      </c>
      <c r="C9" s="17"/>
      <c r="D9" s="17"/>
      <c r="E9" s="17"/>
      <c r="F9" s="88">
        <f>SUM(H9/(Input!E13*1000))</f>
        <v>0.06881512968</v>
      </c>
      <c r="G9" s="17"/>
      <c r="H9" s="57">
        <f>Details!F67</f>
        <v>1032.2269452</v>
      </c>
      <c r="I9" s="27"/>
      <c r="J9" s="20"/>
    </row>
    <row r="10" spans="2:10" ht="15" customHeight="1">
      <c r="B10" s="17" t="s">
        <v>90</v>
      </c>
      <c r="C10" s="17"/>
      <c r="D10" s="17"/>
      <c r="E10" s="17"/>
      <c r="F10" s="144">
        <f>SUM(H10/(Input!E13*1000))</f>
        <v>0.008818128475199999</v>
      </c>
      <c r="G10" s="22"/>
      <c r="H10" s="145">
        <f>Details!F77</f>
        <v>132.271927128</v>
      </c>
      <c r="I10" s="36"/>
      <c r="J10" s="20"/>
    </row>
    <row r="11" spans="2:10" ht="15" customHeight="1">
      <c r="B11" s="18" t="s">
        <v>170</v>
      </c>
      <c r="C11" s="17"/>
      <c r="D11" s="17"/>
      <c r="E11" s="17"/>
      <c r="F11" s="89">
        <f>F8+F9+F10</f>
        <v>0.40074808381797766</v>
      </c>
      <c r="G11" s="18"/>
      <c r="H11" s="46">
        <f>SUM(H8:H10)</f>
        <v>6011.221257269665</v>
      </c>
      <c r="I11" s="11"/>
      <c r="J11" s="20"/>
    </row>
    <row r="12" spans="2:10" ht="15" customHeight="1">
      <c r="B12" s="18"/>
      <c r="C12" s="17"/>
      <c r="D12" s="17"/>
      <c r="E12" s="17"/>
      <c r="F12" s="90"/>
      <c r="G12" s="18"/>
      <c r="H12" s="11"/>
      <c r="I12" s="11"/>
      <c r="J12" s="40"/>
    </row>
    <row r="13" spans="2:10" ht="15" customHeight="1">
      <c r="B13" s="4" t="s">
        <v>16</v>
      </c>
      <c r="C13" s="17"/>
      <c r="D13" s="17"/>
      <c r="E13" s="17"/>
      <c r="F13" s="87" t="s">
        <v>0</v>
      </c>
      <c r="G13" s="17"/>
      <c r="H13" s="17"/>
      <c r="I13" s="17"/>
      <c r="J13" s="17"/>
    </row>
    <row r="14" spans="2:10" ht="15" customHeight="1">
      <c r="B14" s="17" t="s">
        <v>262</v>
      </c>
      <c r="C14" s="17"/>
      <c r="D14" s="17"/>
      <c r="E14" s="17"/>
      <c r="F14" s="88">
        <f>SUM(H14/(Input!E13*1000))</f>
        <v>0.014522268920775</v>
      </c>
      <c r="G14" s="17"/>
      <c r="H14" s="57">
        <f>Details!F100</f>
        <v>217.83403381162498</v>
      </c>
      <c r="I14" s="17"/>
      <c r="J14" s="20"/>
    </row>
    <row r="15" spans="2:10" ht="15" customHeight="1">
      <c r="B15" s="17" t="s">
        <v>95</v>
      </c>
      <c r="C15" s="17"/>
      <c r="D15" s="17"/>
      <c r="E15" s="17"/>
      <c r="F15" s="88">
        <f>SUM(H15/(Input!E13*1000))</f>
        <v>0.058333333333333334</v>
      </c>
      <c r="G15" s="17"/>
      <c r="H15" s="57">
        <f>Details!F107</f>
        <v>875</v>
      </c>
      <c r="I15" s="17"/>
      <c r="J15" s="20"/>
    </row>
    <row r="16" spans="2:10" ht="15" customHeight="1">
      <c r="B16" s="17" t="s">
        <v>96</v>
      </c>
      <c r="C16" s="17"/>
      <c r="D16" s="17"/>
      <c r="E16" s="17"/>
      <c r="F16" s="88">
        <f>SUM(H16/(Input!E13*1000))</f>
        <v>0.03333333333333333</v>
      </c>
      <c r="G16" s="17"/>
      <c r="H16" s="57">
        <f>Details!F110</f>
        <v>500</v>
      </c>
      <c r="I16" s="17"/>
      <c r="J16" s="20"/>
    </row>
    <row r="17" spans="2:10" ht="15" customHeight="1">
      <c r="B17" s="17" t="s">
        <v>97</v>
      </c>
      <c r="C17" s="17"/>
      <c r="D17" s="17"/>
      <c r="E17" s="17"/>
      <c r="F17" s="88">
        <f>SUM(H17/(Input!E13*1000))</f>
        <v>0.011666666666666667</v>
      </c>
      <c r="G17" s="17"/>
      <c r="H17" s="57">
        <f>Details!F117</f>
        <v>175</v>
      </c>
      <c r="I17" s="17"/>
      <c r="J17" s="20"/>
    </row>
    <row r="18" spans="2:10" ht="15" customHeight="1">
      <c r="B18" s="17" t="s">
        <v>165</v>
      </c>
      <c r="C18" s="17"/>
      <c r="D18" s="17"/>
      <c r="E18" s="17"/>
      <c r="F18" s="144">
        <f>SUM(H18/(Input!E13*1000))</f>
        <v>0.021</v>
      </c>
      <c r="G18" s="17"/>
      <c r="H18" s="145">
        <f>Details!F124</f>
        <v>315</v>
      </c>
      <c r="I18" s="17"/>
      <c r="J18" s="20"/>
    </row>
    <row r="19" spans="2:10" s="72" customFormat="1" ht="15" customHeight="1">
      <c r="B19" s="4" t="s">
        <v>41</v>
      </c>
      <c r="C19" s="4"/>
      <c r="D19" s="4"/>
      <c r="E19" s="4"/>
      <c r="F19" s="104">
        <f>SUM(F14:F18)</f>
        <v>0.13885560225410834</v>
      </c>
      <c r="G19" s="4"/>
      <c r="H19" s="46">
        <f>SUM(H14:H18)</f>
        <v>2082.834033811625</v>
      </c>
      <c r="I19" s="4"/>
      <c r="J19" s="105"/>
    </row>
    <row r="20" spans="2:10" ht="15" customHeight="1">
      <c r="B20" s="17" t="s">
        <v>166</v>
      </c>
      <c r="C20" s="17"/>
      <c r="D20" s="17"/>
      <c r="E20" s="17"/>
      <c r="F20" s="144">
        <f>SUM(H20/(Input!E13*1000))</f>
        <v>0.004</v>
      </c>
      <c r="G20" s="25"/>
      <c r="H20" s="145">
        <f>ROUND(Details!F132,0)</f>
        <v>60</v>
      </c>
      <c r="I20" s="25"/>
      <c r="J20" s="20"/>
    </row>
    <row r="21" spans="2:10" ht="15" customHeight="1">
      <c r="B21" s="18" t="s">
        <v>17</v>
      </c>
      <c r="C21" s="18"/>
      <c r="D21" s="18"/>
      <c r="E21" s="18"/>
      <c r="F21" s="89">
        <f>F19+F20+F11</f>
        <v>0.543603686072086</v>
      </c>
      <c r="G21" s="23"/>
      <c r="H21" s="46">
        <f>SUM(H19:H20)+H11</f>
        <v>8154.05529108129</v>
      </c>
      <c r="I21" s="38"/>
      <c r="J21" s="20"/>
    </row>
    <row r="22" spans="2:10" ht="15" customHeight="1">
      <c r="B22" s="18"/>
      <c r="C22" s="18"/>
      <c r="D22" s="18"/>
      <c r="E22" s="18"/>
      <c r="F22" s="90"/>
      <c r="G22" s="18"/>
      <c r="H22" s="11"/>
      <c r="I22" s="38"/>
      <c r="J22" s="40"/>
    </row>
    <row r="23" spans="2:10" ht="15" customHeight="1">
      <c r="B23" s="18" t="s">
        <v>18</v>
      </c>
      <c r="C23" s="17"/>
      <c r="D23" s="17"/>
      <c r="E23" s="17"/>
      <c r="F23" s="87"/>
      <c r="G23" s="17"/>
      <c r="H23" s="17"/>
      <c r="I23" s="17"/>
      <c r="J23" s="17"/>
    </row>
    <row r="24" spans="2:10" ht="15" customHeight="1">
      <c r="B24" s="4" t="s">
        <v>1</v>
      </c>
      <c r="C24" s="17"/>
      <c r="D24" s="17"/>
      <c r="E24" s="17"/>
      <c r="F24" s="87"/>
      <c r="G24" s="17"/>
      <c r="H24" s="17"/>
      <c r="I24" s="17"/>
      <c r="J24" s="17"/>
    </row>
    <row r="25" spans="2:10" ht="15" customHeight="1">
      <c r="B25" s="17" t="s">
        <v>2</v>
      </c>
      <c r="C25" s="17"/>
      <c r="D25" s="17"/>
      <c r="E25" s="17"/>
      <c r="F25" s="88">
        <f>SUM(H25/(Input!E13*1000))</f>
        <v>0.06</v>
      </c>
      <c r="G25" s="17"/>
      <c r="H25" s="58">
        <f>Details!F160+Details!H160</f>
        <v>900</v>
      </c>
      <c r="I25" s="17"/>
      <c r="J25" s="20"/>
    </row>
    <row r="26" spans="2:10" ht="15" customHeight="1">
      <c r="B26" s="17" t="s">
        <v>261</v>
      </c>
      <c r="C26" s="17"/>
      <c r="D26" s="17"/>
      <c r="E26" s="17"/>
      <c r="F26" s="88">
        <f>SUM(H26/(Input!E13*1000))</f>
        <v>0.09</v>
      </c>
      <c r="G26" s="17"/>
      <c r="H26" s="58">
        <f>Details!F166+Details!H166</f>
        <v>1350</v>
      </c>
      <c r="I26" s="17"/>
      <c r="J26" s="20"/>
    </row>
    <row r="27" spans="2:10" ht="15" customHeight="1">
      <c r="B27" s="17"/>
      <c r="C27" s="17"/>
      <c r="D27" s="17"/>
      <c r="E27" s="17"/>
      <c r="F27" s="87"/>
      <c r="G27" s="17"/>
      <c r="H27" s="47"/>
      <c r="I27" s="17"/>
      <c r="J27" s="40"/>
    </row>
    <row r="28" spans="2:10" ht="15" customHeight="1">
      <c r="B28" s="4" t="s">
        <v>3</v>
      </c>
      <c r="C28" s="17"/>
      <c r="D28" s="17"/>
      <c r="E28" s="17"/>
      <c r="F28" s="88" t="s">
        <v>0</v>
      </c>
      <c r="G28" s="17"/>
      <c r="H28" s="47" t="s">
        <v>0</v>
      </c>
      <c r="I28" s="17"/>
      <c r="J28" s="17"/>
    </row>
    <row r="29" spans="2:10" ht="15" customHeight="1">
      <c r="B29" s="17" t="s">
        <v>4</v>
      </c>
      <c r="C29" s="17"/>
      <c r="D29" s="17"/>
      <c r="E29" s="17"/>
      <c r="F29" s="88">
        <f>SUM(H29/(Input!E13*1000))</f>
        <v>0.012833333333333334</v>
      </c>
      <c r="G29" s="17"/>
      <c r="H29" s="58">
        <f>Details!F176+Details!H176</f>
        <v>192.5</v>
      </c>
      <c r="I29" s="17"/>
      <c r="J29" s="20"/>
    </row>
    <row r="30" spans="2:10" ht="15" customHeight="1">
      <c r="B30" s="17" t="s">
        <v>260</v>
      </c>
      <c r="C30" s="17"/>
      <c r="D30" s="17"/>
      <c r="E30" s="17"/>
      <c r="F30" s="88">
        <f>SUM(H30/(Input!E13*1000))</f>
        <v>0.009625</v>
      </c>
      <c r="G30" s="17"/>
      <c r="H30" s="58">
        <f>Details!F183+Details!H183</f>
        <v>144.375</v>
      </c>
      <c r="I30" s="17"/>
      <c r="J30" s="20"/>
    </row>
    <row r="31" spans="2:10" ht="15" customHeight="1">
      <c r="B31" s="17" t="s">
        <v>93</v>
      </c>
      <c r="C31" s="17"/>
      <c r="D31" s="17"/>
      <c r="E31" s="17"/>
      <c r="F31" s="88">
        <f>SUM(H31/(Input!E13*1000))</f>
        <v>0.0011666666666666668</v>
      </c>
      <c r="G31" s="17"/>
      <c r="H31" s="58">
        <f>Details!F188</f>
        <v>17.5</v>
      </c>
      <c r="I31" s="17"/>
      <c r="J31" s="20"/>
    </row>
    <row r="32" spans="2:10" ht="15" customHeight="1">
      <c r="B32" s="18" t="s">
        <v>19</v>
      </c>
      <c r="C32" s="18"/>
      <c r="D32" s="18"/>
      <c r="E32" s="18"/>
      <c r="F32" s="146">
        <f>SUM(F25:F31)</f>
        <v>0.173625</v>
      </c>
      <c r="G32" s="50"/>
      <c r="H32" s="147">
        <f>SUM(H25:H31)</f>
        <v>2604.375</v>
      </c>
      <c r="I32" s="38"/>
      <c r="J32" s="20"/>
    </row>
    <row r="33" spans="2:10" ht="15" customHeight="1">
      <c r="B33" s="18" t="s">
        <v>20</v>
      </c>
      <c r="C33" s="18"/>
      <c r="D33" s="18"/>
      <c r="E33" s="18"/>
      <c r="F33" s="89">
        <f>F21+F32</f>
        <v>0.717228686072086</v>
      </c>
      <c r="G33" s="18"/>
      <c r="H33" s="46">
        <f>H21+H32</f>
        <v>10758.430291081291</v>
      </c>
      <c r="I33" s="38"/>
      <c r="J33" s="20"/>
    </row>
    <row r="34" spans="2:10" ht="15" customHeight="1">
      <c r="B34" s="18"/>
      <c r="C34" s="18"/>
      <c r="D34" s="18"/>
      <c r="E34" s="18"/>
      <c r="F34" s="90"/>
      <c r="G34" s="18"/>
      <c r="H34" s="11"/>
      <c r="I34" s="38"/>
      <c r="J34" s="40"/>
    </row>
    <row r="35" spans="2:10" ht="15" customHeight="1">
      <c r="B35" s="18" t="s">
        <v>50</v>
      </c>
      <c r="C35" s="18"/>
      <c r="D35" s="18"/>
      <c r="E35" s="18"/>
      <c r="F35" s="144">
        <f>SUM(H35/(Input!E13*1000))</f>
        <v>0.096</v>
      </c>
      <c r="G35" s="50"/>
      <c r="H35" s="145">
        <f>Details!F207</f>
        <v>1440</v>
      </c>
      <c r="I35" s="18"/>
      <c r="J35" s="20"/>
    </row>
    <row r="36" spans="2:10" ht="15" customHeight="1">
      <c r="B36" s="18" t="s">
        <v>21</v>
      </c>
      <c r="C36" s="18"/>
      <c r="D36" s="18"/>
      <c r="E36" s="18"/>
      <c r="F36" s="89">
        <f>F33+F35</f>
        <v>0.813228686072086</v>
      </c>
      <c r="G36" s="18"/>
      <c r="H36" s="46">
        <f>H35+H33</f>
        <v>12198.430291081291</v>
      </c>
      <c r="I36" s="18"/>
      <c r="J36" s="20"/>
    </row>
    <row r="37" spans="2:10" ht="15" customHeight="1" thickBot="1">
      <c r="B37" s="39"/>
      <c r="C37" s="39"/>
      <c r="D37" s="39"/>
      <c r="E37" s="39"/>
      <c r="F37" s="91"/>
      <c r="G37" s="39"/>
      <c r="H37" s="43"/>
      <c r="I37" s="39"/>
      <c r="J37" s="39"/>
    </row>
    <row r="38" spans="2:10" ht="15" customHeight="1" thickTop="1">
      <c r="B38" s="18" t="s">
        <v>203</v>
      </c>
      <c r="C38" s="17"/>
      <c r="D38" s="17"/>
      <c r="E38" s="17"/>
      <c r="F38" s="87"/>
      <c r="G38" s="17"/>
      <c r="H38" s="17"/>
      <c r="I38" s="17"/>
      <c r="J38" s="17"/>
    </row>
    <row r="39" spans="2:10" ht="15" customHeight="1">
      <c r="B39" s="4" t="s">
        <v>98</v>
      </c>
      <c r="C39" s="17"/>
      <c r="D39" s="17"/>
      <c r="E39" s="17"/>
      <c r="F39" s="87"/>
      <c r="G39" s="17"/>
      <c r="H39" s="17"/>
      <c r="I39" s="17"/>
      <c r="J39" s="17"/>
    </row>
    <row r="40" spans="2:10" ht="15" customHeight="1">
      <c r="B40" s="17" t="s">
        <v>225</v>
      </c>
      <c r="C40" s="17"/>
      <c r="D40" s="17"/>
      <c r="E40" s="17"/>
      <c r="F40" s="88">
        <f>SUM(H40/(Input!E13*1000))</f>
        <v>0.885</v>
      </c>
      <c r="G40" s="17"/>
      <c r="H40" s="58">
        <f>Details!F214</f>
        <v>13275</v>
      </c>
      <c r="I40" s="17"/>
      <c r="J40" s="20"/>
    </row>
    <row r="41" spans="2:10" ht="15" customHeight="1">
      <c r="B41" s="17" t="s">
        <v>226</v>
      </c>
      <c r="C41" s="17"/>
      <c r="D41" s="17"/>
      <c r="E41" s="17"/>
      <c r="F41" s="88">
        <f>SUM(H41/(Input!E13*1000))</f>
        <v>0.022236180904522174</v>
      </c>
      <c r="G41" s="17"/>
      <c r="H41" s="58">
        <f>Details!F229</f>
        <v>333.5427135678326</v>
      </c>
      <c r="I41" s="17"/>
      <c r="J41" s="20"/>
    </row>
    <row r="42" spans="2:10" ht="15" customHeight="1">
      <c r="B42" s="17" t="s">
        <v>218</v>
      </c>
      <c r="C42" s="17"/>
      <c r="D42" s="17"/>
      <c r="E42" s="17"/>
      <c r="F42" s="144">
        <f>SUM(H42/(Input!E13*1000))</f>
        <v>0</v>
      </c>
      <c r="G42" s="17"/>
      <c r="H42" s="145">
        <f>Details!F234</f>
        <v>0</v>
      </c>
      <c r="I42" s="17"/>
      <c r="J42" s="20"/>
    </row>
    <row r="43" spans="2:10" ht="15" customHeight="1">
      <c r="B43" s="18" t="s">
        <v>217</v>
      </c>
      <c r="C43" s="18"/>
      <c r="D43" s="18"/>
      <c r="E43" s="18"/>
      <c r="F43" s="89">
        <f>F40+F41+F42</f>
        <v>0.9072361809045222</v>
      </c>
      <c r="G43" s="23"/>
      <c r="H43" s="77">
        <f>H40+H41+H4246</f>
        <v>13608.542713567833</v>
      </c>
      <c r="I43" s="38"/>
      <c r="J43" s="20"/>
    </row>
    <row r="44" spans="2:10" ht="15" customHeight="1">
      <c r="B44" s="18"/>
      <c r="C44" s="18"/>
      <c r="D44" s="18"/>
      <c r="E44" s="18"/>
      <c r="F44" s="89"/>
      <c r="G44" s="23"/>
      <c r="H44" s="46"/>
      <c r="I44" s="38"/>
      <c r="J44" s="40"/>
    </row>
    <row r="45" spans="2:10" ht="15" customHeight="1">
      <c r="B45" s="18" t="s">
        <v>205</v>
      </c>
      <c r="C45" s="18"/>
      <c r="D45" s="18"/>
      <c r="E45" s="18"/>
      <c r="F45" s="89">
        <f>F43-F36</f>
        <v>0.0940074948324362</v>
      </c>
      <c r="G45" s="23"/>
      <c r="H45" s="77">
        <f>ROUND(H43-H36,0)</f>
        <v>1410</v>
      </c>
      <c r="I45" s="38"/>
      <c r="J45" s="20"/>
    </row>
    <row r="46" spans="2:10" ht="15" customHeight="1" thickBot="1">
      <c r="B46" s="39"/>
      <c r="C46" s="39"/>
      <c r="D46" s="39"/>
      <c r="E46" s="39"/>
      <c r="F46" s="91"/>
      <c r="G46" s="39"/>
      <c r="H46" s="43"/>
      <c r="I46" s="39"/>
      <c r="J46" s="39"/>
    </row>
    <row r="47" spans="2:10" ht="15" customHeight="1" thickTop="1">
      <c r="B47" s="4" t="s">
        <v>5</v>
      </c>
      <c r="C47" s="17"/>
      <c r="D47" s="17"/>
      <c r="E47" s="17"/>
      <c r="F47" s="148" t="s">
        <v>94</v>
      </c>
      <c r="G47" s="17"/>
      <c r="H47" s="148" t="s">
        <v>209</v>
      </c>
      <c r="I47" s="17"/>
      <c r="J47" s="17"/>
    </row>
    <row r="48" spans="2:10" ht="15" customHeight="1">
      <c r="B48" s="17" t="s">
        <v>23</v>
      </c>
      <c r="C48" s="17"/>
      <c r="D48" s="17"/>
      <c r="E48" s="17"/>
      <c r="F48" s="92">
        <f>SUM((H21-(H43-H40))/(Input!E13*1000))</f>
        <v>0.5213675051675638</v>
      </c>
      <c r="G48" s="17"/>
      <c r="H48" s="92">
        <f>SUM(((H43-H21)/(Details!F31))+Details!F35)</f>
        <v>9.480612285211603</v>
      </c>
      <c r="I48" s="29"/>
      <c r="J48" s="20"/>
    </row>
    <row r="49" spans="2:10" ht="15" customHeight="1">
      <c r="B49" s="17" t="s">
        <v>58</v>
      </c>
      <c r="C49" s="17"/>
      <c r="D49" s="17"/>
      <c r="E49" s="17"/>
      <c r="F49" s="92">
        <f>SUM(((H21+H35)-(H43-H40))/(Input!E13*1000))</f>
        <v>0.6173675051675639</v>
      </c>
      <c r="G49" s="17"/>
      <c r="H49" s="92">
        <f>SUM(((H43-H21-H35)/(Details!F31))+Details!F35)</f>
        <v>8.712202466641699</v>
      </c>
      <c r="I49" s="29"/>
      <c r="J49" s="20"/>
    </row>
    <row r="50" spans="2:10" ht="15" customHeight="1">
      <c r="B50" s="17" t="s">
        <v>59</v>
      </c>
      <c r="C50" s="17"/>
      <c r="D50" s="17"/>
      <c r="E50" s="17"/>
      <c r="F50" s="92">
        <f>SUM((H33-(H43-H40))/(Input!E13*1000))</f>
        <v>0.694992505167564</v>
      </c>
      <c r="G50" s="17"/>
      <c r="H50" s="92">
        <f>SUM(((H43-H33)/(Details!F31))+Details!F35)</f>
        <v>8.09087108990744</v>
      </c>
      <c r="I50" s="29"/>
      <c r="J50" s="20"/>
    </row>
    <row r="51" spans="2:10" ht="15" customHeight="1">
      <c r="B51" s="17" t="s">
        <v>60</v>
      </c>
      <c r="C51" s="17"/>
      <c r="D51" s="17"/>
      <c r="E51" s="17"/>
      <c r="F51" s="92">
        <f>SUM(((H33+H35)-(H43-H40))/(Input!E13*1000))</f>
        <v>0.7909925051675639</v>
      </c>
      <c r="G51" s="17"/>
      <c r="H51" s="92">
        <f>SUM(((H43-H33-H35)/(Details!F31))+Details!F35)</f>
        <v>7.322461271337536</v>
      </c>
      <c r="I51" s="29"/>
      <c r="J51" s="37"/>
    </row>
    <row r="52" spans="2:10" ht="15" customHeight="1">
      <c r="B52" s="51" t="str">
        <f>"Breakeven Price $/Litre = (Cost - (Total Value - Est. on-farm biodiesel value)) ÷ "&amp;Input!E13&amp;",000 litres"</f>
        <v>Breakeven Price $/Litre = (Cost - (Total Value - Est. on-farm biodiesel value)) ÷ 15,000 litres</v>
      </c>
      <c r="C52" s="40"/>
      <c r="D52" s="40"/>
      <c r="E52" s="40"/>
      <c r="F52" s="93"/>
      <c r="G52" s="40"/>
      <c r="H52" s="40"/>
      <c r="I52" s="40"/>
      <c r="J52" s="40"/>
    </row>
    <row r="53" spans="2:10" ht="12" customHeight="1">
      <c r="B53" s="51" t="str">
        <f>"Breakeven Price $COP/Bu. = Total Value - Cost ÷ "&amp;Details!F31&amp;" bu. of canola + $"&amp;Details!F35&amp;" COP per bu. (with canola meal = $"&amp;Input!E33&amp;"/tonne)"</f>
        <v>Breakeven Price $COP/Bu. = Total Value - Cost ÷ 1874 bu. of canola + $6.57 COP per bu. (with canola meal = $262.15/tonne)</v>
      </c>
      <c r="C53" s="40"/>
      <c r="D53" s="40"/>
      <c r="E53" s="40"/>
      <c r="F53" s="93"/>
      <c r="G53" s="40"/>
      <c r="H53" s="40"/>
      <c r="I53" s="40"/>
      <c r="J53" s="40"/>
    </row>
    <row r="54" spans="2:10" ht="15" customHeight="1" thickBot="1">
      <c r="B54" s="39"/>
      <c r="C54" s="39"/>
      <c r="D54" s="39"/>
      <c r="E54" s="39"/>
      <c r="F54" s="91"/>
      <c r="G54" s="39"/>
      <c r="H54" s="43"/>
      <c r="I54" s="39"/>
      <c r="J54" s="39"/>
    </row>
    <row r="55" spans="2:10" ht="15" customHeight="1" thickTop="1">
      <c r="B55" s="4" t="s">
        <v>237</v>
      </c>
      <c r="C55" s="40"/>
      <c r="D55" s="40"/>
      <c r="E55" s="40"/>
      <c r="F55" s="151" t="s">
        <v>233</v>
      </c>
      <c r="G55" s="40"/>
      <c r="H55" s="152" t="s">
        <v>10</v>
      </c>
      <c r="I55" s="40"/>
      <c r="J55" s="40"/>
    </row>
    <row r="56" spans="2:10" ht="15" customHeight="1">
      <c r="B56" s="17" t="s">
        <v>236</v>
      </c>
      <c r="C56" s="40"/>
      <c r="D56" s="40"/>
      <c r="E56" s="40"/>
      <c r="F56" s="138">
        <f>SUM(H45/Details!F31)</f>
        <v>0.7524012806830309</v>
      </c>
      <c r="G56" s="40"/>
      <c r="H56" s="139">
        <f>H45</f>
        <v>1410</v>
      </c>
      <c r="I56" s="40"/>
      <c r="J56" s="40"/>
    </row>
    <row r="57" spans="2:10" ht="15" customHeight="1">
      <c r="B57" s="34" t="s">
        <v>235</v>
      </c>
      <c r="C57" s="40"/>
      <c r="D57" s="40"/>
      <c r="E57" s="40"/>
      <c r="F57" s="149">
        <f>SUM(Input!E32-Details!F35)</f>
        <v>5.68</v>
      </c>
      <c r="G57" s="40"/>
      <c r="H57" s="150">
        <f>SUM(Details!F31*Input!E32)-Details!F38</f>
        <v>10645.150771827084</v>
      </c>
      <c r="I57" s="40"/>
      <c r="J57" s="40"/>
    </row>
    <row r="58" spans="2:10" ht="15" customHeight="1">
      <c r="B58" s="4" t="s">
        <v>239</v>
      </c>
      <c r="C58" s="40"/>
      <c r="D58" s="40"/>
      <c r="E58" s="40"/>
      <c r="F58" s="140">
        <f>SUM(F56-F57)</f>
        <v>-4.927598719316968</v>
      </c>
      <c r="G58" s="40"/>
      <c r="H58" s="141">
        <f>SUM(H56-H57)</f>
        <v>-9235.150771827084</v>
      </c>
      <c r="I58" s="40"/>
      <c r="J58" s="40"/>
    </row>
    <row r="59" spans="2:10" ht="15" customHeight="1">
      <c r="B59" s="51" t="str">
        <f>"Biodiesel processing margin $/Bu = (Total Value - Cost of Production = $"&amp;H45&amp;") ÷ "&amp;Details!F31&amp;"bu. of canola"</f>
        <v>Biodiesel processing margin $/Bu = (Total Value - Cost of Production = $1410) ÷ 1874bu. of canola</v>
      </c>
      <c r="C59" s="40"/>
      <c r="D59" s="40"/>
      <c r="E59" s="40"/>
      <c r="F59" s="93"/>
      <c r="G59" s="40"/>
      <c r="H59" s="40"/>
      <c r="I59" s="40"/>
      <c r="J59" s="40"/>
    </row>
    <row r="60" spans="2:10" ht="12" customHeight="1">
      <c r="B60" s="51" t="str">
        <f>"Canola grain marketing margin $/Bu = $"&amp;Input!E32&amp;"/bu canola market price - $"&amp;Details!F35&amp;" COP per bu. canola"</f>
        <v>Canola grain marketing margin $/Bu = $12.25/bu canola market price - $6.57 COP per bu. canola</v>
      </c>
      <c r="C60" s="40"/>
      <c r="D60" s="40"/>
      <c r="E60" s="40"/>
      <c r="F60" s="93"/>
      <c r="G60" s="40"/>
      <c r="H60" s="40"/>
      <c r="I60" s="40"/>
      <c r="J60" s="40"/>
    </row>
    <row r="61" spans="2:10" ht="15" customHeight="1">
      <c r="B61" s="51"/>
      <c r="C61" s="40"/>
      <c r="D61" s="40"/>
      <c r="E61" s="40"/>
      <c r="F61" s="93"/>
      <c r="G61" s="40"/>
      <c r="H61" s="40"/>
      <c r="I61" s="40"/>
      <c r="J61" s="40"/>
    </row>
    <row r="62" spans="2:10" ht="15" customHeight="1">
      <c r="B62" s="194" t="s">
        <v>55</v>
      </c>
      <c r="C62" s="195"/>
      <c r="D62" s="195"/>
      <c r="E62" s="195"/>
      <c r="F62" s="195"/>
      <c r="G62" s="195"/>
      <c r="H62" s="195"/>
      <c r="I62" s="195"/>
      <c r="J62" s="195"/>
    </row>
    <row r="63" spans="2:10" ht="15" customHeight="1">
      <c r="B63" s="195"/>
      <c r="C63" s="195"/>
      <c r="D63" s="195"/>
      <c r="E63" s="195"/>
      <c r="F63" s="195"/>
      <c r="G63" s="195"/>
      <c r="H63" s="195"/>
      <c r="I63" s="195"/>
      <c r="J63" s="195"/>
    </row>
    <row r="64" spans="2:10" ht="15" customHeight="1">
      <c r="B64" s="195"/>
      <c r="C64" s="195"/>
      <c r="D64" s="195"/>
      <c r="E64" s="195"/>
      <c r="F64" s="195"/>
      <c r="G64" s="195"/>
      <c r="H64" s="195"/>
      <c r="I64" s="195"/>
      <c r="J64" s="195"/>
    </row>
  </sheetData>
  <sheetProtection password="C6A6" sheet="1" objects="1" scenarios="1"/>
  <mergeCells count="3">
    <mergeCell ref="B2:J2"/>
    <mergeCell ref="B62:J64"/>
    <mergeCell ref="D3:H4"/>
  </mergeCells>
  <printOptions horizontalCentered="1" verticalCentered="1"/>
  <pageMargins left="0.748031496062992" right="0.748031496062992" top="0.73" bottom="0.86" header="0.511811023622047" footer="0.511811023622047"/>
  <pageSetup firstPageNumber="2" useFirstPageNumber="1" fitToHeight="1" fitToWidth="1" horizontalDpi="600" verticalDpi="600" orientation="portrait" scale="71" r:id="rId1"/>
  <headerFooter alignWithMargins="0">
    <oddHeader>&amp;L&amp;9Guidelines: Biodiesel Production Costs&amp;R&amp;P</oddHeader>
    <oddFooter>&amp;R&amp;"Arial,Italic"&amp;9MAFRI, GO Team Branch</oddFooter>
  </headerFooter>
  <ignoredErrors>
    <ignoredError sqref="F32 H32" emptyCellReference="1"/>
    <ignoredError sqref="F19" formula="1"/>
  </ignoredErrors>
</worksheet>
</file>

<file path=xl/worksheets/sheet3.xml><?xml version="1.0" encoding="utf-8"?>
<worksheet xmlns="http://schemas.openxmlformats.org/spreadsheetml/2006/main" xmlns:r="http://schemas.openxmlformats.org/officeDocument/2006/relationships">
  <sheetPr codeName="Sheet1"/>
  <dimension ref="A2:J71"/>
  <sheetViews>
    <sheetView showGridLines="0" zoomScalePageLayoutView="0" workbookViewId="0" topLeftCell="A1">
      <selection activeCell="E14" sqref="E14"/>
    </sheetView>
  </sheetViews>
  <sheetFormatPr defaultColWidth="9.77734375" defaultRowHeight="15"/>
  <cols>
    <col min="1" max="1" width="12.6640625" style="3" customWidth="1"/>
    <col min="2" max="2" width="8.6640625" style="3" customWidth="1"/>
    <col min="3" max="3" width="8.5546875" style="3" customWidth="1"/>
    <col min="4" max="4" width="10.3359375" style="3" customWidth="1"/>
    <col min="5" max="5" width="11.21484375" style="3" customWidth="1"/>
    <col min="6" max="6" width="7.88671875" style="3" customWidth="1"/>
    <col min="7" max="7" width="6.21484375" style="3" customWidth="1"/>
    <col min="8" max="8" width="8.99609375" style="3" customWidth="1"/>
    <col min="9" max="9" width="8.4453125" style="3" customWidth="1"/>
  </cols>
  <sheetData>
    <row r="2" spans="1:9" ht="18">
      <c r="A2" s="198" t="s">
        <v>61</v>
      </c>
      <c r="B2" s="199"/>
      <c r="C2" s="199"/>
      <c r="D2" s="199"/>
      <c r="E2" s="199"/>
      <c r="F2" s="199"/>
      <c r="G2" s="199"/>
      <c r="H2" s="199"/>
      <c r="I2" s="199"/>
    </row>
    <row r="4" ht="15.75">
      <c r="A4" s="4" t="s">
        <v>26</v>
      </c>
    </row>
    <row r="6" spans="1:10" ht="15">
      <c r="A6" s="3" t="s">
        <v>62</v>
      </c>
      <c r="J6" s="26"/>
    </row>
    <row r="7" spans="1:10" ht="15">
      <c r="A7" s="3" t="s">
        <v>44</v>
      </c>
      <c r="J7" s="26"/>
    </row>
    <row r="8" spans="1:10" ht="15">
      <c r="A8" s="3" t="s">
        <v>208</v>
      </c>
      <c r="J8" s="26"/>
    </row>
    <row r="9" spans="1:10" ht="15">
      <c r="A9" s="3" t="s">
        <v>186</v>
      </c>
      <c r="J9" s="26"/>
    </row>
    <row r="10" spans="1:10" ht="15">
      <c r="A10" s="3" t="s">
        <v>207</v>
      </c>
      <c r="J10" s="26"/>
    </row>
    <row r="12" spans="1:8" ht="15.75">
      <c r="A12" s="4" t="s">
        <v>102</v>
      </c>
      <c r="E12" s="65"/>
      <c r="H12" s="6"/>
    </row>
    <row r="13" spans="1:8" ht="15.75">
      <c r="A13" s="17" t="s">
        <v>246</v>
      </c>
      <c r="E13" s="120">
        <v>15</v>
      </c>
      <c r="H13" s="7"/>
    </row>
    <row r="14" spans="1:8" ht="15.75">
      <c r="A14" s="3" t="s">
        <v>66</v>
      </c>
      <c r="E14" s="120">
        <v>30</v>
      </c>
      <c r="H14" s="7"/>
    </row>
    <row r="15" spans="1:8" ht="15.75">
      <c r="A15" s="3" t="s">
        <v>67</v>
      </c>
      <c r="E15" s="121">
        <v>8</v>
      </c>
      <c r="H15" s="52"/>
    </row>
    <row r="16" spans="1:8" ht="15.75">
      <c r="A16" s="3" t="s">
        <v>68</v>
      </c>
      <c r="E16" s="134">
        <v>0.25</v>
      </c>
      <c r="H16" s="7"/>
    </row>
    <row r="17" spans="1:8" ht="15.75">
      <c r="A17" s="3" t="s">
        <v>69</v>
      </c>
      <c r="E17" s="122">
        <v>12</v>
      </c>
      <c r="F17" s="3" t="s">
        <v>65</v>
      </c>
      <c r="H17" s="53"/>
    </row>
    <row r="18" spans="5:8" ht="15.75">
      <c r="E18" s="112"/>
      <c r="H18" s="53"/>
    </row>
    <row r="19" spans="1:8" ht="15.75">
      <c r="A19" s="3" t="s">
        <v>75</v>
      </c>
      <c r="E19" s="123">
        <v>0.99088</v>
      </c>
      <c r="F19" s="3" t="s">
        <v>71</v>
      </c>
      <c r="H19" s="53"/>
    </row>
    <row r="20" spans="1:8" ht="15.75">
      <c r="A20" s="3" t="s">
        <v>77</v>
      </c>
      <c r="E20" s="124">
        <v>460</v>
      </c>
      <c r="F20" s="3" t="s">
        <v>73</v>
      </c>
      <c r="H20" s="53"/>
    </row>
    <row r="21" spans="1:8" ht="15.75">
      <c r="A21" s="3" t="s">
        <v>78</v>
      </c>
      <c r="E21" s="125">
        <v>25</v>
      </c>
      <c r="F21" s="3" t="s">
        <v>32</v>
      </c>
      <c r="H21" s="53"/>
    </row>
    <row r="22" spans="1:8" ht="15.75">
      <c r="A22" s="3" t="s">
        <v>101</v>
      </c>
      <c r="E22" s="124">
        <v>600</v>
      </c>
      <c r="F22" s="3" t="s">
        <v>73</v>
      </c>
      <c r="H22" s="53"/>
    </row>
    <row r="23" spans="5:8" ht="15.75">
      <c r="E23" s="113"/>
      <c r="H23" s="53"/>
    </row>
    <row r="24" spans="1:8" ht="15.75">
      <c r="A24" s="3" t="s">
        <v>76</v>
      </c>
      <c r="E24" s="124">
        <v>0</v>
      </c>
      <c r="F24" s="3" t="s">
        <v>73</v>
      </c>
      <c r="H24" s="53"/>
    </row>
    <row r="25" spans="1:8" ht="15.75">
      <c r="A25" s="3" t="s">
        <v>232</v>
      </c>
      <c r="E25" s="126">
        <v>0.885</v>
      </c>
      <c r="F25" s="3" t="s">
        <v>74</v>
      </c>
      <c r="H25" s="53"/>
    </row>
    <row r="26" spans="1:8" ht="15.75">
      <c r="A26" s="3" t="s">
        <v>214</v>
      </c>
      <c r="E26" s="125">
        <v>20</v>
      </c>
      <c r="F26" s="3" t="s">
        <v>32</v>
      </c>
      <c r="H26" s="53"/>
    </row>
    <row r="27" spans="1:8" ht="15.75">
      <c r="A27" s="3" t="s">
        <v>215</v>
      </c>
      <c r="E27" s="127">
        <v>0.5</v>
      </c>
      <c r="F27" s="3" t="s">
        <v>32</v>
      </c>
      <c r="H27" s="53"/>
    </row>
    <row r="28" spans="5:8" ht="15.75">
      <c r="E28" s="114"/>
      <c r="H28" s="53"/>
    </row>
    <row r="29" spans="1:8" ht="15.75">
      <c r="A29" s="4" t="s">
        <v>64</v>
      </c>
      <c r="B29" s="5"/>
      <c r="C29" s="5"/>
      <c r="E29" s="115"/>
      <c r="H29" s="52"/>
    </row>
    <row r="30" spans="1:8" ht="15.75">
      <c r="A30" s="17" t="s">
        <v>191</v>
      </c>
      <c r="B30" s="5"/>
      <c r="C30" s="5"/>
      <c r="E30" s="137">
        <v>256.23</v>
      </c>
      <c r="F30" s="3" t="s">
        <v>192</v>
      </c>
      <c r="H30" s="52"/>
    </row>
    <row r="31" spans="1:8" ht="15.75">
      <c r="A31" s="17" t="s">
        <v>193</v>
      </c>
      <c r="B31" s="5"/>
      <c r="C31" s="5"/>
      <c r="E31" s="129">
        <v>39</v>
      </c>
      <c r="F31" s="3" t="s">
        <v>192</v>
      </c>
      <c r="H31" s="52"/>
    </row>
    <row r="32" spans="1:8" ht="15.75">
      <c r="A32" s="17" t="s">
        <v>234</v>
      </c>
      <c r="B32" s="5"/>
      <c r="C32" s="5"/>
      <c r="E32" s="142">
        <v>12.25</v>
      </c>
      <c r="F32" s="3" t="s">
        <v>72</v>
      </c>
      <c r="H32" s="52"/>
    </row>
    <row r="33" spans="1:8" ht="15.75">
      <c r="A33" s="17" t="s">
        <v>103</v>
      </c>
      <c r="B33" s="5"/>
      <c r="C33" s="5"/>
      <c r="E33" s="124">
        <v>262.15</v>
      </c>
      <c r="F33" s="3" t="s">
        <v>73</v>
      </c>
      <c r="H33" s="52"/>
    </row>
    <row r="34" spans="1:8" ht="15.75">
      <c r="A34" s="3" t="s">
        <v>66</v>
      </c>
      <c r="E34" s="120">
        <v>30</v>
      </c>
      <c r="H34" s="7"/>
    </row>
    <row r="35" spans="1:8" ht="15.75">
      <c r="A35" s="3" t="s">
        <v>67</v>
      </c>
      <c r="E35" s="121">
        <v>8</v>
      </c>
      <c r="H35" s="52"/>
    </row>
    <row r="36" spans="1:8" ht="15.75">
      <c r="A36" s="3" t="s">
        <v>104</v>
      </c>
      <c r="E36" s="135">
        <v>0.25</v>
      </c>
      <c r="H36" s="52"/>
    </row>
    <row r="37" spans="1:8" ht="15.75">
      <c r="A37" s="3" t="s">
        <v>69</v>
      </c>
      <c r="E37" s="122">
        <v>12</v>
      </c>
      <c r="F37" s="3" t="s">
        <v>65</v>
      </c>
      <c r="H37" s="53"/>
    </row>
    <row r="38" spans="1:8" ht="15.75">
      <c r="A38" s="3" t="s">
        <v>105</v>
      </c>
      <c r="B38" s="5"/>
      <c r="C38" s="5"/>
      <c r="E38" s="129">
        <v>42</v>
      </c>
      <c r="F38" s="3" t="s">
        <v>32</v>
      </c>
      <c r="H38" s="52"/>
    </row>
    <row r="39" spans="1:8" ht="15.75">
      <c r="A39" s="3" t="s">
        <v>106</v>
      </c>
      <c r="B39" s="5"/>
      <c r="C39" s="5"/>
      <c r="E39" s="129">
        <v>10</v>
      </c>
      <c r="F39" s="3" t="s">
        <v>32</v>
      </c>
      <c r="H39" s="52"/>
    </row>
    <row r="40" spans="1:8" ht="15.75">
      <c r="A40" s="3" t="s">
        <v>229</v>
      </c>
      <c r="B40" s="5"/>
      <c r="C40" s="5"/>
      <c r="E40" s="129">
        <v>1</v>
      </c>
      <c r="F40" s="3" t="s">
        <v>32</v>
      </c>
      <c r="H40" s="52"/>
    </row>
    <row r="41" spans="1:8" ht="15.75">
      <c r="A41" s="3" t="s">
        <v>107</v>
      </c>
      <c r="B41" s="5"/>
      <c r="C41" s="5"/>
      <c r="E41" s="129">
        <v>3.5</v>
      </c>
      <c r="F41" s="3" t="s">
        <v>32</v>
      </c>
      <c r="H41" s="52"/>
    </row>
    <row r="42" spans="1:8" ht="15.75">
      <c r="A42" s="17" t="s">
        <v>109</v>
      </c>
      <c r="B42" s="5"/>
      <c r="C42" s="5"/>
      <c r="E42" s="128">
        <v>4</v>
      </c>
      <c r="F42" s="3" t="s">
        <v>72</v>
      </c>
      <c r="H42" s="52"/>
    </row>
    <row r="43" spans="1:8" ht="15.75">
      <c r="A43" s="3" t="s">
        <v>137</v>
      </c>
      <c r="B43" s="5"/>
      <c r="C43" s="5"/>
      <c r="E43" s="121">
        <v>0</v>
      </c>
      <c r="F43" s="3" t="s">
        <v>32</v>
      </c>
      <c r="H43" s="52"/>
    </row>
    <row r="44" spans="1:8" ht="15.75">
      <c r="A44" s="3" t="s">
        <v>108</v>
      </c>
      <c r="B44" s="5"/>
      <c r="C44" s="5"/>
      <c r="E44" s="130">
        <v>0.915</v>
      </c>
      <c r="F44" s="3" t="s">
        <v>70</v>
      </c>
      <c r="H44" s="52"/>
    </row>
    <row r="45" spans="2:8" ht="15.75">
      <c r="B45" s="5"/>
      <c r="C45" s="5"/>
      <c r="E45" s="116"/>
      <c r="H45" s="52"/>
    </row>
    <row r="46" ht="15.75">
      <c r="A46" s="4" t="s">
        <v>36</v>
      </c>
    </row>
    <row r="47" spans="1:8" ht="15.75">
      <c r="A47" s="3" t="s">
        <v>263</v>
      </c>
      <c r="E47" s="143">
        <v>0.06899</v>
      </c>
      <c r="F47" s="3" t="s">
        <v>79</v>
      </c>
      <c r="H47" s="53"/>
    </row>
    <row r="48" spans="1:8" ht="15.75">
      <c r="A48" s="3" t="s">
        <v>80</v>
      </c>
      <c r="E48" s="129">
        <v>2.5</v>
      </c>
      <c r="F48" s="3" t="s">
        <v>32</v>
      </c>
      <c r="H48" s="53"/>
    </row>
    <row r="49" spans="1:8" ht="15.75">
      <c r="A49" s="3" t="s">
        <v>91</v>
      </c>
      <c r="E49" s="131">
        <v>500</v>
      </c>
      <c r="F49" s="3" t="s">
        <v>92</v>
      </c>
      <c r="H49" s="53"/>
    </row>
    <row r="50" spans="1:8" ht="15.75">
      <c r="A50" s="3" t="s">
        <v>81</v>
      </c>
      <c r="E50" s="129">
        <v>0.5</v>
      </c>
      <c r="F50" s="3" t="s">
        <v>32</v>
      </c>
      <c r="H50" s="53"/>
    </row>
    <row r="51" spans="1:8" ht="15.75">
      <c r="A51" s="3" t="s">
        <v>82</v>
      </c>
      <c r="E51" s="129">
        <v>1.5</v>
      </c>
      <c r="F51" s="3" t="s">
        <v>32</v>
      </c>
      <c r="H51" s="53"/>
    </row>
    <row r="52" spans="5:8" ht="15">
      <c r="E52" s="13"/>
      <c r="H52" s="13"/>
    </row>
    <row r="53" spans="1:6" ht="15.75">
      <c r="A53" s="3" t="s">
        <v>99</v>
      </c>
      <c r="E53" s="135">
        <v>1.75</v>
      </c>
      <c r="F53" s="3" t="s">
        <v>32</v>
      </c>
    </row>
    <row r="54" spans="1:6" ht="15.75">
      <c r="A54" s="3" t="s">
        <v>100</v>
      </c>
      <c r="E54" s="135">
        <v>5.75</v>
      </c>
      <c r="F54" s="3" t="s">
        <v>32</v>
      </c>
    </row>
    <row r="55" spans="4:9" ht="15">
      <c r="D55" s="3" t="s">
        <v>0</v>
      </c>
      <c r="E55" s="5" t="s">
        <v>0</v>
      </c>
      <c r="H55" s="5"/>
      <c r="I55" s="3" t="s">
        <v>0</v>
      </c>
    </row>
    <row r="56" spans="1:10" ht="15.75">
      <c r="A56" s="4" t="s">
        <v>27</v>
      </c>
      <c r="J56" s="60"/>
    </row>
    <row r="57" spans="1:9" ht="15.75">
      <c r="A57" s="4" t="s">
        <v>83</v>
      </c>
      <c r="D57" s="41" t="s">
        <v>39</v>
      </c>
      <c r="E57" s="8"/>
      <c r="F57" s="202" t="s">
        <v>40</v>
      </c>
      <c r="G57" s="203"/>
      <c r="H57" s="200" t="s">
        <v>28</v>
      </c>
      <c r="I57" s="201"/>
    </row>
    <row r="58" spans="1:9" ht="15.75">
      <c r="A58" s="3" t="s">
        <v>84</v>
      </c>
      <c r="D58" s="132">
        <v>5000</v>
      </c>
      <c r="E58" s="7"/>
      <c r="F58" s="120">
        <v>10</v>
      </c>
      <c r="G58" s="17" t="s">
        <v>32</v>
      </c>
      <c r="H58" s="120">
        <v>20</v>
      </c>
      <c r="I58" s="3" t="s">
        <v>37</v>
      </c>
    </row>
    <row r="59" spans="1:9" ht="15.75">
      <c r="A59" s="3" t="s">
        <v>85</v>
      </c>
      <c r="D59" s="169">
        <v>15000</v>
      </c>
      <c r="E59" s="54"/>
      <c r="F59" s="170">
        <v>10</v>
      </c>
      <c r="G59" s="17" t="s">
        <v>32</v>
      </c>
      <c r="H59" s="170">
        <v>20</v>
      </c>
      <c r="I59" s="3" t="s">
        <v>37</v>
      </c>
    </row>
    <row r="60" spans="1:9" ht="15.75">
      <c r="A60" s="4" t="s">
        <v>46</v>
      </c>
      <c r="D60" s="117">
        <f>SUM(D58:D59)</f>
        <v>20000</v>
      </c>
      <c r="E60" s="11"/>
      <c r="F60" s="173">
        <f>AVERAGE(F58:F59)</f>
        <v>10</v>
      </c>
      <c r="G60" s="17" t="s">
        <v>32</v>
      </c>
      <c r="H60" s="173">
        <f>AVERAGE(H58:H59)</f>
        <v>20</v>
      </c>
      <c r="I60" s="3" t="s">
        <v>37</v>
      </c>
    </row>
    <row r="61" spans="7:9" ht="15">
      <c r="G61" s="3" t="s">
        <v>0</v>
      </c>
      <c r="I61" s="3" t="s">
        <v>0</v>
      </c>
    </row>
    <row r="62" ht="15.75">
      <c r="A62" s="4" t="s">
        <v>249</v>
      </c>
    </row>
    <row r="63" spans="1:9" ht="15.75">
      <c r="A63" s="3" t="s">
        <v>84</v>
      </c>
      <c r="D63" s="132">
        <v>7500</v>
      </c>
      <c r="E63" s="7"/>
      <c r="F63" s="120">
        <v>10</v>
      </c>
      <c r="G63" s="17" t="s">
        <v>32</v>
      </c>
      <c r="H63" s="120">
        <v>10</v>
      </c>
      <c r="I63" s="3" t="s">
        <v>37</v>
      </c>
    </row>
    <row r="64" spans="1:9" ht="15.75">
      <c r="A64" s="3" t="s">
        <v>85</v>
      </c>
      <c r="D64" s="169">
        <v>7500</v>
      </c>
      <c r="E64" s="10"/>
      <c r="F64" s="170">
        <v>10</v>
      </c>
      <c r="G64" s="17" t="s">
        <v>32</v>
      </c>
      <c r="H64" s="170">
        <v>10</v>
      </c>
      <c r="I64" s="3" t="s">
        <v>37</v>
      </c>
    </row>
    <row r="65" spans="1:9" ht="15.75">
      <c r="A65" s="4" t="s">
        <v>47</v>
      </c>
      <c r="D65" s="118">
        <f>SUM(D63:D64)</f>
        <v>15000</v>
      </c>
      <c r="E65" s="11"/>
      <c r="F65" s="173">
        <f>AVERAGE(F63:F64)</f>
        <v>10</v>
      </c>
      <c r="G65" s="17" t="s">
        <v>32</v>
      </c>
      <c r="H65" s="173">
        <f>AVERAGE(H63:H64)</f>
        <v>10</v>
      </c>
      <c r="I65" s="3" t="s">
        <v>37</v>
      </c>
    </row>
    <row r="66" spans="1:5" ht="15.75">
      <c r="A66" s="4"/>
      <c r="D66" s="118"/>
      <c r="E66" s="11"/>
    </row>
    <row r="67" spans="1:8" ht="15.75">
      <c r="A67" s="4" t="s">
        <v>86</v>
      </c>
      <c r="D67" s="118">
        <f>D60+D65</f>
        <v>35000</v>
      </c>
      <c r="E67" s="12"/>
      <c r="G67" s="5"/>
      <c r="H67" s="5"/>
    </row>
    <row r="68" spans="1:8" ht="15.75">
      <c r="A68" s="4"/>
      <c r="D68" s="119"/>
      <c r="E68" s="12"/>
      <c r="G68" s="5"/>
      <c r="H68" s="5"/>
    </row>
    <row r="69" spans="1:8" ht="15.75">
      <c r="A69" s="4" t="s">
        <v>180</v>
      </c>
      <c r="D69" s="133">
        <v>1000</v>
      </c>
      <c r="E69" s="12"/>
      <c r="G69" s="5"/>
      <c r="H69" s="5"/>
    </row>
    <row r="70" ht="15.75">
      <c r="E70" s="11"/>
    </row>
    <row r="71" spans="1:8" ht="15.75">
      <c r="A71" s="4" t="s">
        <v>38</v>
      </c>
      <c r="D71" s="118">
        <f>D67+D69</f>
        <v>36000</v>
      </c>
      <c r="E71" s="12"/>
      <c r="G71" s="5" t="s">
        <v>0</v>
      </c>
      <c r="H71" s="5"/>
    </row>
  </sheetData>
  <sheetProtection password="C6A6" sheet="1" objects="1" scenarios="1" selectLockedCells="1"/>
  <mergeCells count="3">
    <mergeCell ref="A2:I2"/>
    <mergeCell ref="H57:I57"/>
    <mergeCell ref="F57:G57"/>
  </mergeCells>
  <printOptions horizontalCentered="1"/>
  <pageMargins left="0.7480314960629921" right="0.7480314960629921" top="0.984251968503937" bottom="0.984251968503937" header="0.5118110236220472" footer="0.5118110236220472"/>
  <pageSetup firstPageNumber="3" useFirstPageNumber="1" horizontalDpi="600" verticalDpi="600" orientation="portrait" scale="90" r:id="rId1"/>
  <headerFooter alignWithMargins="0">
    <oddHeader>&amp;L&amp;9Guidelines: Biodiesel Production Costs&amp;R&amp;P</oddHeader>
    <oddFooter>&amp;R&amp;"Arial,Italic"&amp;9MAFRI, GO Team Branch</oddFooter>
  </headerFooter>
  <rowBreaks count="1" manualBreakCount="1">
    <brk id="45" max="8" man="1"/>
  </rowBreaks>
</worksheet>
</file>

<file path=xl/worksheets/sheet4.xml><?xml version="1.0" encoding="utf-8"?>
<worksheet xmlns="http://schemas.openxmlformats.org/spreadsheetml/2006/main" xmlns:r="http://schemas.openxmlformats.org/officeDocument/2006/relationships">
  <sheetPr codeName="Sheet3"/>
  <dimension ref="A1:K252"/>
  <sheetViews>
    <sheetView showGridLines="0" workbookViewId="0" topLeftCell="A1">
      <selection activeCell="A1" sqref="A1"/>
    </sheetView>
  </sheetViews>
  <sheetFormatPr defaultColWidth="8.88671875" defaultRowHeight="15" customHeight="1"/>
  <cols>
    <col min="1" max="1" width="3.21484375" style="15" customWidth="1"/>
    <col min="2" max="2" width="5.6640625" style="15" customWidth="1"/>
    <col min="3" max="3" width="5.5546875" style="15" customWidth="1"/>
    <col min="4" max="4" width="9.21484375" style="15" customWidth="1"/>
    <col min="5" max="5" width="3.77734375" style="15" customWidth="1"/>
    <col min="6" max="6" width="14.10546875" style="15" customWidth="1"/>
    <col min="7" max="7" width="2.21484375" style="15" customWidth="1"/>
    <col min="8" max="8" width="16.88671875" style="15" customWidth="1"/>
    <col min="9" max="9" width="19.3359375" style="15" customWidth="1"/>
    <col min="10" max="10" width="12.4453125" style="15" customWidth="1"/>
    <col min="11" max="16384" width="8.88671875" style="15" customWidth="1"/>
  </cols>
  <sheetData>
    <row r="1" spans="1:10" ht="15" customHeight="1">
      <c r="A1" s="14"/>
      <c r="B1" s="14"/>
      <c r="C1" s="14"/>
      <c r="D1" s="14"/>
      <c r="E1" s="14"/>
      <c r="F1" s="14"/>
      <c r="G1" s="14"/>
      <c r="H1" s="14"/>
      <c r="I1" s="14"/>
      <c r="J1" s="14"/>
    </row>
    <row r="2" spans="1:10" ht="15" customHeight="1">
      <c r="A2" s="14"/>
      <c r="B2" s="199" t="s">
        <v>26</v>
      </c>
      <c r="C2" s="199"/>
      <c r="D2" s="204"/>
      <c r="E2" s="204"/>
      <c r="F2" s="204"/>
      <c r="G2" s="204"/>
      <c r="H2" s="204"/>
      <c r="I2" s="204"/>
      <c r="J2" s="204"/>
    </row>
    <row r="3" spans="1:10" ht="15" customHeight="1">
      <c r="A3" s="14"/>
      <c r="B3" s="14"/>
      <c r="C3" s="14"/>
      <c r="D3" s="14"/>
      <c r="E3" s="9"/>
      <c r="F3" s="9"/>
      <c r="G3" s="9"/>
      <c r="H3" s="9"/>
      <c r="I3" s="9"/>
      <c r="J3" s="14"/>
    </row>
    <row r="4" spans="1:10" ht="15.75">
      <c r="A4" s="4" t="s">
        <v>26</v>
      </c>
      <c r="B4" s="3"/>
      <c r="C4" s="3"/>
      <c r="D4" s="3"/>
      <c r="E4" s="3"/>
      <c r="F4" s="3"/>
      <c r="G4" s="3"/>
      <c r="H4" s="3"/>
      <c r="I4" s="3"/>
      <c r="J4" s="26"/>
    </row>
    <row r="5" spans="1:10" ht="15">
      <c r="A5" s="3" t="s">
        <v>62</v>
      </c>
      <c r="B5" s="3"/>
      <c r="C5" s="3"/>
      <c r="D5" s="3"/>
      <c r="E5" s="3"/>
      <c r="F5" s="3"/>
      <c r="G5" s="3"/>
      <c r="H5" s="3"/>
      <c r="I5" s="3"/>
      <c r="J5" s="26"/>
    </row>
    <row r="6" spans="1:10" ht="15">
      <c r="A6" s="3" t="s">
        <v>44</v>
      </c>
      <c r="B6" s="3"/>
      <c r="C6" s="3"/>
      <c r="D6" s="3"/>
      <c r="E6" s="3"/>
      <c r="F6" s="3"/>
      <c r="G6" s="3"/>
      <c r="H6" s="3"/>
      <c r="I6" s="3"/>
      <c r="J6" s="26"/>
    </row>
    <row r="7" spans="1:10" ht="15">
      <c r="A7" s="3" t="s">
        <v>208</v>
      </c>
      <c r="B7" s="3"/>
      <c r="C7" s="3"/>
      <c r="D7" s="3"/>
      <c r="E7" s="3"/>
      <c r="F7" s="3"/>
      <c r="G7" s="3"/>
      <c r="H7" s="3"/>
      <c r="I7" s="3"/>
      <c r="J7" s="26"/>
    </row>
    <row r="8" spans="1:10" ht="15">
      <c r="A8" s="3" t="s">
        <v>186</v>
      </c>
      <c r="B8" s="3"/>
      <c r="C8" s="3"/>
      <c r="D8" s="3"/>
      <c r="E8" s="3"/>
      <c r="F8" s="3"/>
      <c r="G8" s="3"/>
      <c r="H8" s="3"/>
      <c r="I8" s="3"/>
      <c r="J8" s="26"/>
    </row>
    <row r="9" spans="1:10" ht="15">
      <c r="A9" s="3" t="s">
        <v>207</v>
      </c>
      <c r="B9" s="3"/>
      <c r="C9" s="3"/>
      <c r="D9" s="3"/>
      <c r="E9" s="3"/>
      <c r="F9" s="3"/>
      <c r="G9" s="3"/>
      <c r="H9" s="3"/>
      <c r="I9" s="3"/>
      <c r="J9" s="26"/>
    </row>
    <row r="10" spans="1:10" ht="15" customHeight="1">
      <c r="A10" s="14"/>
      <c r="B10" s="17"/>
      <c r="C10" s="17"/>
      <c r="D10" s="17"/>
      <c r="E10" s="17"/>
      <c r="F10" s="17"/>
      <c r="G10" s="17"/>
      <c r="H10" s="17"/>
      <c r="I10" s="17"/>
      <c r="J10" s="17"/>
    </row>
    <row r="11" spans="1:10" ht="15" customHeight="1">
      <c r="A11" s="205" t="s">
        <v>111</v>
      </c>
      <c r="B11" s="206"/>
      <c r="C11" s="206"/>
      <c r="D11" s="206"/>
      <c r="E11" s="206"/>
      <c r="F11" s="206"/>
      <c r="G11" s="206"/>
      <c r="H11" s="206"/>
      <c r="I11" s="206"/>
      <c r="J11" s="206"/>
    </row>
    <row r="12" spans="1:10" ht="15" customHeight="1">
      <c r="A12" s="14"/>
      <c r="B12" s="18"/>
      <c r="C12" s="18"/>
      <c r="D12" s="17"/>
      <c r="E12" s="17"/>
      <c r="F12" s="17"/>
      <c r="G12" s="17"/>
      <c r="H12" s="17"/>
      <c r="I12" s="17"/>
      <c r="J12" s="17"/>
    </row>
    <row r="13" spans="1:10" ht="15" customHeight="1">
      <c r="A13" s="16"/>
      <c r="B13" s="4" t="s">
        <v>35</v>
      </c>
      <c r="C13" s="17"/>
      <c r="D13" s="17"/>
      <c r="E13" s="17"/>
      <c r="F13" s="17"/>
      <c r="G13" s="17"/>
      <c r="H13" s="17"/>
      <c r="I13" s="17"/>
      <c r="J13" s="17"/>
    </row>
    <row r="14" spans="1:10" ht="15" customHeight="1">
      <c r="A14" s="14"/>
      <c r="B14" s="18" t="s">
        <v>89</v>
      </c>
      <c r="C14" s="18"/>
      <c r="D14" s="17"/>
      <c r="E14" s="17"/>
      <c r="F14" s="17"/>
      <c r="G14" s="17"/>
      <c r="H14" s="17"/>
      <c r="I14" s="17"/>
      <c r="J14" s="17"/>
    </row>
    <row r="15" spans="1:10" ht="15" customHeight="1">
      <c r="A15" s="14"/>
      <c r="C15" s="18" t="s">
        <v>112</v>
      </c>
      <c r="D15" s="17"/>
      <c r="E15" s="17"/>
      <c r="F15" s="17"/>
      <c r="G15" s="17"/>
      <c r="H15" s="17"/>
      <c r="I15" s="17"/>
      <c r="J15" s="17"/>
    </row>
    <row r="16" spans="1:10" ht="15" customHeight="1">
      <c r="A16" s="14"/>
      <c r="B16" s="17"/>
      <c r="C16" s="17"/>
      <c r="D16" s="17"/>
      <c r="E16" s="17"/>
      <c r="F16" s="67">
        <f>Input!E38/100</f>
        <v>0.42</v>
      </c>
      <c r="G16" s="17"/>
      <c r="H16" s="17" t="s">
        <v>113</v>
      </c>
      <c r="I16" s="17"/>
      <c r="J16" s="20"/>
    </row>
    <row r="17" spans="1:10" ht="15" customHeight="1">
      <c r="A17" s="14"/>
      <c r="B17" s="17"/>
      <c r="C17" s="17"/>
      <c r="D17" s="17"/>
      <c r="E17" s="17" t="s">
        <v>12</v>
      </c>
      <c r="F17" s="153">
        <f>Input!E39/100</f>
        <v>0.1</v>
      </c>
      <c r="G17" s="17"/>
      <c r="H17" s="34" t="s">
        <v>114</v>
      </c>
      <c r="I17" s="34"/>
      <c r="J17" s="20"/>
    </row>
    <row r="18" spans="1:10" ht="15" customHeight="1">
      <c r="A18" s="14"/>
      <c r="B18" s="17"/>
      <c r="C18" s="17"/>
      <c r="D18" s="17"/>
      <c r="E18" s="18" t="s">
        <v>8</v>
      </c>
      <c r="F18" s="66">
        <f>(F16-F17)</f>
        <v>0.31999999999999995</v>
      </c>
      <c r="G18" s="18"/>
      <c r="H18" s="18" t="s">
        <v>115</v>
      </c>
      <c r="I18" s="18"/>
      <c r="J18" s="20"/>
    </row>
    <row r="19" spans="1:10" ht="15" customHeight="1">
      <c r="A19" s="14"/>
      <c r="B19" s="17"/>
      <c r="C19" s="17"/>
      <c r="D19" s="17"/>
      <c r="E19" s="17" t="s">
        <v>12</v>
      </c>
      <c r="F19" s="153">
        <f>Input!E40/100</f>
        <v>0.01</v>
      </c>
      <c r="G19" s="17"/>
      <c r="H19" s="34" t="s">
        <v>230</v>
      </c>
      <c r="I19" s="34"/>
      <c r="J19" s="20"/>
    </row>
    <row r="20" spans="1:10" ht="15" customHeight="1">
      <c r="A20" s="14"/>
      <c r="B20" s="17"/>
      <c r="C20" s="17"/>
      <c r="D20" s="17"/>
      <c r="E20" s="18" t="s">
        <v>8</v>
      </c>
      <c r="F20" s="66">
        <f>(1-F18-F19)</f>
        <v>0.67</v>
      </c>
      <c r="G20" s="18"/>
      <c r="H20" s="18" t="s">
        <v>122</v>
      </c>
      <c r="I20" s="18"/>
      <c r="J20" s="20"/>
    </row>
    <row r="21" spans="1:10" ht="15" customHeight="1">
      <c r="A21" s="14"/>
      <c r="B21" s="17"/>
      <c r="C21" s="17"/>
      <c r="D21" s="17"/>
      <c r="E21" s="18"/>
      <c r="F21" s="73"/>
      <c r="G21" s="18"/>
      <c r="H21" s="18"/>
      <c r="I21" s="18"/>
      <c r="J21" s="40"/>
    </row>
    <row r="22" spans="1:10" ht="15" customHeight="1">
      <c r="A22" s="14"/>
      <c r="B22" s="17"/>
      <c r="C22" s="17"/>
      <c r="D22" s="17"/>
      <c r="E22" s="21" t="s">
        <v>6</v>
      </c>
      <c r="F22" s="160">
        <v>1000</v>
      </c>
      <c r="G22" s="21"/>
      <c r="H22" s="22" t="s">
        <v>116</v>
      </c>
      <c r="I22" s="22"/>
      <c r="J22" s="20"/>
    </row>
    <row r="23" spans="1:10" ht="15" customHeight="1">
      <c r="A23" s="14"/>
      <c r="B23" s="17"/>
      <c r="C23" s="17"/>
      <c r="D23" s="17"/>
      <c r="E23" s="18" t="s">
        <v>8</v>
      </c>
      <c r="F23" s="69">
        <f>SUM(F18*F22)</f>
        <v>319.99999999999994</v>
      </c>
      <c r="G23" s="18"/>
      <c r="H23" s="18" t="s">
        <v>117</v>
      </c>
      <c r="I23" s="18"/>
      <c r="J23" s="20"/>
    </row>
    <row r="24" spans="1:10" ht="15" customHeight="1">
      <c r="A24" s="14"/>
      <c r="B24" s="17"/>
      <c r="C24" s="17"/>
      <c r="D24" s="17"/>
      <c r="E24" s="21" t="s">
        <v>7</v>
      </c>
      <c r="F24" s="154">
        <f>Input!E44</f>
        <v>0.915</v>
      </c>
      <c r="G24" s="21"/>
      <c r="H24" s="17" t="s">
        <v>248</v>
      </c>
      <c r="I24" s="17"/>
      <c r="J24" s="20"/>
    </row>
    <row r="25" spans="1:10" ht="15" customHeight="1">
      <c r="A25" s="14"/>
      <c r="B25" s="17"/>
      <c r="C25" s="17"/>
      <c r="D25" s="17"/>
      <c r="E25" s="18" t="s">
        <v>8</v>
      </c>
      <c r="F25" s="70">
        <f>SUM(F23/F24)</f>
        <v>349.7267759562841</v>
      </c>
      <c r="G25" s="18"/>
      <c r="H25" s="18" t="s">
        <v>118</v>
      </c>
      <c r="I25" s="18"/>
      <c r="J25" s="20"/>
    </row>
    <row r="26" spans="1:10" ht="15" customHeight="1">
      <c r="A26" s="14"/>
      <c r="B26" s="17"/>
      <c r="C26" s="17"/>
      <c r="D26" s="17"/>
      <c r="E26" s="18"/>
      <c r="F26" s="70"/>
      <c r="G26" s="18"/>
      <c r="H26" s="18"/>
      <c r="I26" s="18"/>
      <c r="J26" s="40"/>
    </row>
    <row r="27" spans="1:10" ht="15" customHeight="1">
      <c r="A27" s="14"/>
      <c r="B27" s="17"/>
      <c r="C27" s="17"/>
      <c r="D27" s="17"/>
      <c r="E27" s="21"/>
      <c r="F27" s="73">
        <f>SUM(1000*Input!E13)</f>
        <v>15000</v>
      </c>
      <c r="G27" s="21"/>
      <c r="H27" s="21" t="s">
        <v>119</v>
      </c>
      <c r="I27" s="21"/>
      <c r="J27" s="20"/>
    </row>
    <row r="28" spans="1:10" ht="15" customHeight="1">
      <c r="A28" s="14"/>
      <c r="B28" s="17"/>
      <c r="C28" s="17"/>
      <c r="D28" s="17"/>
      <c r="E28" s="21" t="s">
        <v>6</v>
      </c>
      <c r="F28" s="74">
        <f>Input!E19</f>
        <v>0.99088</v>
      </c>
      <c r="G28" s="21"/>
      <c r="H28" s="21" t="s">
        <v>120</v>
      </c>
      <c r="I28" s="21"/>
      <c r="J28" s="20"/>
    </row>
    <row r="29" spans="1:10" ht="15" customHeight="1">
      <c r="A29" s="14"/>
      <c r="B29" s="17"/>
      <c r="C29" s="17"/>
      <c r="D29" s="17"/>
      <c r="E29" s="21" t="s">
        <v>7</v>
      </c>
      <c r="F29" s="155">
        <f>F25</f>
        <v>349.7267759562841</v>
      </c>
      <c r="G29" s="21"/>
      <c r="H29" s="22" t="s">
        <v>118</v>
      </c>
      <c r="I29" s="22"/>
      <c r="J29" s="20"/>
    </row>
    <row r="30" spans="1:10" ht="15" customHeight="1">
      <c r="A30" s="14"/>
      <c r="B30" s="17"/>
      <c r="C30" s="17"/>
      <c r="D30" s="17"/>
      <c r="E30" s="18" t="s">
        <v>8</v>
      </c>
      <c r="F30" s="110">
        <f>SUM((F27*F28)/F29)</f>
        <v>42.49946250000001</v>
      </c>
      <c r="G30" s="21"/>
      <c r="H30" s="18" t="s">
        <v>194</v>
      </c>
      <c r="I30" s="21"/>
      <c r="J30" s="20"/>
    </row>
    <row r="31" spans="1:10" ht="15" customHeight="1">
      <c r="A31" s="14"/>
      <c r="B31" s="17"/>
      <c r="C31" s="17"/>
      <c r="D31" s="17"/>
      <c r="E31" s="21"/>
      <c r="F31" s="73">
        <f>ROUND(F30*44.0917,0)</f>
        <v>1874</v>
      </c>
      <c r="G31" s="21"/>
      <c r="H31" s="21" t="s">
        <v>206</v>
      </c>
      <c r="I31" s="21"/>
      <c r="J31" s="20"/>
    </row>
    <row r="32" spans="1:10" ht="15" customHeight="1">
      <c r="A32" s="14"/>
      <c r="B32" s="17"/>
      <c r="C32" s="17"/>
      <c r="D32" s="17"/>
      <c r="E32" s="21"/>
      <c r="F32" s="99"/>
      <c r="G32" s="21"/>
      <c r="H32" s="21"/>
      <c r="I32" s="21"/>
      <c r="J32" s="20"/>
    </row>
    <row r="33" spans="1:10" ht="15" customHeight="1">
      <c r="A33" s="14"/>
      <c r="B33" s="17"/>
      <c r="C33" s="17"/>
      <c r="D33" s="17"/>
      <c r="E33" s="21"/>
      <c r="F33" s="82">
        <f>Input!E30</f>
        <v>256.23</v>
      </c>
      <c r="G33" s="21"/>
      <c r="H33" s="21" t="s">
        <v>195</v>
      </c>
      <c r="I33" s="21"/>
      <c r="J33" s="20"/>
    </row>
    <row r="34" spans="1:10" ht="15" customHeight="1">
      <c r="A34" s="14"/>
      <c r="B34" s="17"/>
      <c r="C34" s="17"/>
      <c r="D34" s="17"/>
      <c r="E34" s="21" t="s">
        <v>7</v>
      </c>
      <c r="F34" s="156">
        <f>Input!E31</f>
        <v>39</v>
      </c>
      <c r="G34" s="21"/>
      <c r="H34" s="22" t="s">
        <v>196</v>
      </c>
      <c r="I34" s="22"/>
      <c r="J34" s="20"/>
    </row>
    <row r="35" spans="1:10" s="72" customFormat="1" ht="15" customHeight="1">
      <c r="A35" s="71"/>
      <c r="B35" s="4"/>
      <c r="C35" s="4"/>
      <c r="D35" s="4"/>
      <c r="E35" s="18" t="s">
        <v>8</v>
      </c>
      <c r="F35" s="45">
        <f>ROUND(F33/F34,2)</f>
        <v>6.57</v>
      </c>
      <c r="G35" s="18"/>
      <c r="H35" s="18" t="s">
        <v>210</v>
      </c>
      <c r="I35" s="18"/>
      <c r="J35" s="105"/>
    </row>
    <row r="36" spans="1:10" ht="15" customHeight="1">
      <c r="A36" s="14"/>
      <c r="B36" s="17"/>
      <c r="C36" s="17"/>
      <c r="D36" s="17"/>
      <c r="E36" s="22"/>
      <c r="F36" s="82">
        <f>SUM(F35*44.0917)</f>
        <v>289.682469</v>
      </c>
      <c r="G36" s="21"/>
      <c r="H36" s="21" t="s">
        <v>197</v>
      </c>
      <c r="I36" s="21"/>
      <c r="J36" s="20"/>
    </row>
    <row r="37" spans="1:10" ht="15" customHeight="1">
      <c r="A37" s="14"/>
      <c r="B37" s="17"/>
      <c r="C37" s="17"/>
      <c r="D37" s="17"/>
      <c r="E37" s="21" t="s">
        <v>6</v>
      </c>
      <c r="F37" s="156">
        <f>F30</f>
        <v>42.49946250000001</v>
      </c>
      <c r="G37" s="21"/>
      <c r="H37" s="22" t="str">
        <f>H30</f>
        <v>Tonnes Canola required</v>
      </c>
      <c r="I37" s="22"/>
      <c r="J37" s="20"/>
    </row>
    <row r="38" spans="1:10" ht="15" customHeight="1">
      <c r="A38" s="14"/>
      <c r="B38" s="17"/>
      <c r="C38" s="17"/>
      <c r="D38" s="17"/>
      <c r="E38" s="18" t="s">
        <v>8</v>
      </c>
      <c r="F38" s="77">
        <f>SUM(F36*F37)</f>
        <v>12311.349228172916</v>
      </c>
      <c r="G38" s="21"/>
      <c r="H38" s="18" t="s">
        <v>198</v>
      </c>
      <c r="I38" s="18"/>
      <c r="J38" s="20"/>
    </row>
    <row r="39" spans="1:10" ht="15" customHeight="1">
      <c r="A39" s="14"/>
      <c r="B39" s="17"/>
      <c r="C39" s="17"/>
      <c r="D39" s="17"/>
      <c r="E39" s="18"/>
      <c r="F39" s="75"/>
      <c r="G39" s="21"/>
      <c r="H39" s="18"/>
      <c r="I39" s="18"/>
      <c r="J39" s="40"/>
    </row>
    <row r="40" spans="1:10" ht="15" customHeight="1">
      <c r="A40" s="14"/>
      <c r="B40" s="17"/>
      <c r="C40" s="17"/>
      <c r="D40" s="17"/>
      <c r="E40" s="21"/>
      <c r="F40" s="99">
        <f>F30</f>
        <v>42.49946250000001</v>
      </c>
      <c r="G40" s="21"/>
      <c r="H40" s="21" t="s">
        <v>200</v>
      </c>
      <c r="I40" s="21"/>
      <c r="J40" s="20"/>
    </row>
    <row r="41" spans="1:10" ht="15" customHeight="1">
      <c r="A41" s="14"/>
      <c r="B41" s="17"/>
      <c r="C41" s="17"/>
      <c r="D41" s="17"/>
      <c r="E41" s="21" t="s">
        <v>6</v>
      </c>
      <c r="F41" s="157">
        <f>F20</f>
        <v>0.67</v>
      </c>
      <c r="G41" s="21"/>
      <c r="H41" s="22" t="s">
        <v>122</v>
      </c>
      <c r="I41" s="22"/>
      <c r="J41" s="20"/>
    </row>
    <row r="42" spans="1:10" s="72" customFormat="1" ht="15" customHeight="1">
      <c r="A42" s="71"/>
      <c r="B42" s="4"/>
      <c r="C42" s="4"/>
      <c r="D42" s="4"/>
      <c r="E42" s="18" t="s">
        <v>8</v>
      </c>
      <c r="F42" s="110">
        <f>SUM(F40*F41)</f>
        <v>28.474639875000005</v>
      </c>
      <c r="G42" s="18"/>
      <c r="H42" s="18" t="s">
        <v>133</v>
      </c>
      <c r="I42" s="18"/>
      <c r="J42" s="20"/>
    </row>
    <row r="43" spans="1:10" ht="15" customHeight="1">
      <c r="A43" s="14"/>
      <c r="B43" s="17"/>
      <c r="C43" s="17"/>
      <c r="D43" s="17"/>
      <c r="E43" s="21"/>
      <c r="F43" s="73"/>
      <c r="G43" s="21"/>
      <c r="H43" s="21"/>
      <c r="I43" s="21"/>
      <c r="J43" s="40"/>
    </row>
    <row r="44" spans="1:10" ht="15" customHeight="1">
      <c r="A44" s="14"/>
      <c r="B44" s="17"/>
      <c r="C44" s="17"/>
      <c r="D44" s="17"/>
      <c r="E44" s="21"/>
      <c r="F44" s="73">
        <f>SUM(((Input!E39)-3.5)/100*1000)</f>
        <v>65</v>
      </c>
      <c r="G44" s="21"/>
      <c r="H44" s="21" t="s">
        <v>135</v>
      </c>
      <c r="I44" s="21"/>
      <c r="J44" s="20"/>
    </row>
    <row r="45" spans="1:10" ht="15" customHeight="1">
      <c r="A45" s="14"/>
      <c r="B45" s="17"/>
      <c r="C45" s="17"/>
      <c r="D45" s="17"/>
      <c r="E45" s="21"/>
      <c r="F45" s="82">
        <f>SUM((Input!E42)*100)/(40.3*(76/100))*(2183*(167.28/100))/100</f>
        <v>476.91294240564196</v>
      </c>
      <c r="G45" s="21"/>
      <c r="H45" s="97" t="s">
        <v>143</v>
      </c>
      <c r="I45" s="97"/>
      <c r="J45" s="20"/>
    </row>
    <row r="46" spans="1:10" ht="15" customHeight="1">
      <c r="A46" s="14"/>
      <c r="B46" s="17"/>
      <c r="C46" s="17"/>
      <c r="D46" s="17"/>
      <c r="E46" s="21"/>
      <c r="F46" s="73"/>
      <c r="G46" s="21"/>
      <c r="H46" s="21" t="s">
        <v>144</v>
      </c>
      <c r="I46" s="21"/>
      <c r="J46" s="20"/>
    </row>
    <row r="47" spans="1:10" ht="15" customHeight="1">
      <c r="A47" s="14"/>
      <c r="B47" s="17"/>
      <c r="C47" s="17"/>
      <c r="D47" s="17"/>
      <c r="E47" s="21"/>
      <c r="F47" s="82">
        <f>SUM(F44*(F45))/1000</f>
        <v>30.999341256366726</v>
      </c>
      <c r="G47" s="21"/>
      <c r="H47" s="3" t="s">
        <v>136</v>
      </c>
      <c r="I47" s="3"/>
      <c r="J47" s="20"/>
    </row>
    <row r="48" spans="1:10" ht="15" customHeight="1">
      <c r="A48" s="14"/>
      <c r="B48" s="17"/>
      <c r="C48" s="17"/>
      <c r="D48" s="17"/>
      <c r="E48" s="21" t="s">
        <v>6</v>
      </c>
      <c r="F48" s="157">
        <f>Input!E43/100</f>
        <v>0</v>
      </c>
      <c r="G48" s="21"/>
      <c r="H48" s="80" t="s">
        <v>138</v>
      </c>
      <c r="I48" s="80"/>
      <c r="J48" s="20"/>
    </row>
    <row r="49" spans="5:9" ht="15" customHeight="1">
      <c r="E49" s="18" t="s">
        <v>8</v>
      </c>
      <c r="F49" s="183">
        <f>SUM(F47*F48)</f>
        <v>0</v>
      </c>
      <c r="H49" s="184" t="s">
        <v>147</v>
      </c>
      <c r="I49" s="101"/>
    </row>
    <row r="50" spans="1:10" ht="15" customHeight="1">
      <c r="A50" s="14"/>
      <c r="B50" s="17"/>
      <c r="C50" s="17"/>
      <c r="D50" s="17"/>
      <c r="E50" s="17" t="s">
        <v>11</v>
      </c>
      <c r="F50" s="158">
        <f>Input!E33</f>
        <v>262.15</v>
      </c>
      <c r="G50" s="21"/>
      <c r="H50" s="22" t="s">
        <v>134</v>
      </c>
      <c r="I50" s="22"/>
      <c r="J50" s="20"/>
    </row>
    <row r="51" spans="1:10" ht="15" customHeight="1">
      <c r="A51" s="14"/>
      <c r="B51" s="17"/>
      <c r="C51" s="17"/>
      <c r="D51" s="17"/>
      <c r="E51" s="18" t="s">
        <v>8</v>
      </c>
      <c r="F51" s="45">
        <f>SUM((F47*F48)+F50)</f>
        <v>262.15</v>
      </c>
      <c r="G51" s="21"/>
      <c r="H51" s="18" t="s">
        <v>139</v>
      </c>
      <c r="I51" s="21"/>
      <c r="J51" s="20"/>
    </row>
    <row r="52" spans="1:10" ht="15" customHeight="1">
      <c r="A52" s="14"/>
      <c r="B52" s="17"/>
      <c r="C52" s="17"/>
      <c r="D52" s="17"/>
      <c r="E52" s="21" t="s">
        <v>6</v>
      </c>
      <c r="F52" s="156">
        <f>F42</f>
        <v>28.474639875000005</v>
      </c>
      <c r="G52" s="21"/>
      <c r="H52" s="22" t="s">
        <v>133</v>
      </c>
      <c r="I52" s="22"/>
      <c r="J52" s="20"/>
    </row>
    <row r="53" spans="1:10" ht="15" customHeight="1">
      <c r="A53" s="14"/>
      <c r="B53" s="17"/>
      <c r="C53" s="17"/>
      <c r="D53" s="17"/>
      <c r="E53" s="18" t="s">
        <v>8</v>
      </c>
      <c r="F53" s="77">
        <f>SUM(F51*F52)</f>
        <v>7464.626843231251</v>
      </c>
      <c r="G53" s="21"/>
      <c r="H53" s="18" t="s">
        <v>140</v>
      </c>
      <c r="I53" s="18"/>
      <c r="J53" s="20"/>
    </row>
    <row r="54" spans="1:10" ht="15" customHeight="1">
      <c r="A54" s="14"/>
      <c r="B54" s="17"/>
      <c r="C54" s="17"/>
      <c r="D54" s="17"/>
      <c r="E54" s="18"/>
      <c r="F54" s="79"/>
      <c r="G54" s="21"/>
      <c r="H54" s="18"/>
      <c r="I54" s="18"/>
      <c r="J54" s="40"/>
    </row>
    <row r="55" spans="1:10" ht="15" customHeight="1">
      <c r="A55" s="14"/>
      <c r="B55" s="17"/>
      <c r="C55" s="17"/>
      <c r="D55" s="17"/>
      <c r="E55" s="18"/>
      <c r="F55" s="77">
        <f>F38</f>
        <v>12311.349228172916</v>
      </c>
      <c r="G55" s="21"/>
      <c r="H55" s="18" t="str">
        <f>H38</f>
        <v>Feedstock - Canola </v>
      </c>
      <c r="I55" s="18"/>
      <c r="J55" s="20"/>
    </row>
    <row r="56" spans="1:10" ht="15" customHeight="1">
      <c r="A56" s="14"/>
      <c r="B56" s="17"/>
      <c r="C56" s="17"/>
      <c r="D56" s="17"/>
      <c r="E56" s="18" t="s">
        <v>12</v>
      </c>
      <c r="F56" s="159">
        <f>F53</f>
        <v>7464.626843231251</v>
      </c>
      <c r="G56" s="21"/>
      <c r="H56" s="76" t="str">
        <f>H53</f>
        <v>Canola meal income</v>
      </c>
      <c r="I56" s="76"/>
      <c r="J56" s="20"/>
    </row>
    <row r="57" spans="1:10" ht="15" customHeight="1">
      <c r="A57" s="14"/>
      <c r="B57" s="17"/>
      <c r="C57" s="17"/>
      <c r="D57" s="18" t="s">
        <v>9</v>
      </c>
      <c r="E57" s="18" t="s">
        <v>8</v>
      </c>
      <c r="F57" s="77">
        <f>SUM(F55-F56)</f>
        <v>4846.722384941665</v>
      </c>
      <c r="G57" s="21"/>
      <c r="H57" s="18" t="s">
        <v>199</v>
      </c>
      <c r="I57" s="18"/>
      <c r="J57" s="20"/>
    </row>
    <row r="58" spans="1:10" ht="15" customHeight="1">
      <c r="A58" s="14"/>
      <c r="B58" s="17"/>
      <c r="C58" s="17"/>
      <c r="D58" s="17"/>
      <c r="E58" s="18"/>
      <c r="F58" s="79"/>
      <c r="G58" s="21"/>
      <c r="H58" s="18"/>
      <c r="I58" s="18"/>
      <c r="J58" s="40"/>
    </row>
    <row r="59" spans="1:10" ht="15" customHeight="1">
      <c r="A59" s="14"/>
      <c r="C59" s="18" t="s">
        <v>128</v>
      </c>
      <c r="D59" s="17"/>
      <c r="E59" s="17"/>
      <c r="F59" s="17"/>
      <c r="G59" s="17"/>
      <c r="H59" s="17"/>
      <c r="I59" s="17"/>
      <c r="J59" s="17"/>
    </row>
    <row r="60" spans="1:10" ht="15" customHeight="1">
      <c r="A60" s="14"/>
      <c r="B60" s="17"/>
      <c r="C60" s="17"/>
      <c r="D60" s="17"/>
      <c r="E60" s="21"/>
      <c r="F60" s="73">
        <f>SUM(1000*Input!E13)</f>
        <v>15000</v>
      </c>
      <c r="G60" s="21"/>
      <c r="H60" s="21" t="s">
        <v>119</v>
      </c>
      <c r="I60" s="21"/>
      <c r="J60" s="20"/>
    </row>
    <row r="61" spans="1:10" ht="15" customHeight="1">
      <c r="A61" s="14"/>
      <c r="B61" s="17"/>
      <c r="C61" s="17"/>
      <c r="D61" s="17"/>
      <c r="E61" s="21" t="s">
        <v>6</v>
      </c>
      <c r="F61" s="74">
        <f>Input!E19</f>
        <v>0.99088</v>
      </c>
      <c r="G61" s="21"/>
      <c r="H61" s="21" t="s">
        <v>120</v>
      </c>
      <c r="I61" s="21"/>
      <c r="J61" s="20"/>
    </row>
    <row r="62" spans="1:10" ht="15" customHeight="1">
      <c r="A62" s="14"/>
      <c r="B62" s="17"/>
      <c r="C62" s="17"/>
      <c r="D62" s="17"/>
      <c r="E62" s="21" t="s">
        <v>6</v>
      </c>
      <c r="F62" s="78">
        <f>Input!E44</f>
        <v>0.915</v>
      </c>
      <c r="G62" s="21"/>
      <c r="H62" s="17" t="s">
        <v>248</v>
      </c>
      <c r="I62" s="17"/>
      <c r="J62" s="20"/>
    </row>
    <row r="63" spans="1:10" ht="15" customHeight="1">
      <c r="A63" s="14"/>
      <c r="B63" s="17"/>
      <c r="C63" s="17"/>
      <c r="D63" s="17"/>
      <c r="E63" s="21" t="s">
        <v>6</v>
      </c>
      <c r="F63" s="84">
        <v>0.22</v>
      </c>
      <c r="G63" s="17"/>
      <c r="H63" s="85" t="s">
        <v>129</v>
      </c>
      <c r="I63" s="85"/>
      <c r="J63" s="17"/>
    </row>
    <row r="64" spans="1:10" ht="15" customHeight="1">
      <c r="A64" s="14"/>
      <c r="B64" s="17"/>
      <c r="C64" s="17"/>
      <c r="D64" s="17"/>
      <c r="E64" s="21" t="s">
        <v>6</v>
      </c>
      <c r="F64" s="98">
        <f>1-(Input!E21/100)</f>
        <v>0.75</v>
      </c>
      <c r="G64" s="17"/>
      <c r="H64" s="17" t="str">
        <f>"Methanol recovery = "&amp;Input!E21&amp;"%"</f>
        <v>Methanol recovery = 25%</v>
      </c>
      <c r="I64" s="17"/>
      <c r="J64" s="20"/>
    </row>
    <row r="65" spans="1:10" ht="15" customHeight="1">
      <c r="A65" s="14"/>
      <c r="B65" s="17"/>
      <c r="C65" s="17"/>
      <c r="D65" s="17"/>
      <c r="E65" s="21" t="s">
        <v>7</v>
      </c>
      <c r="F65" s="68">
        <v>1000</v>
      </c>
      <c r="G65" s="21"/>
      <c r="H65" s="21" t="s">
        <v>116</v>
      </c>
      <c r="I65" s="21"/>
      <c r="J65" s="20"/>
    </row>
    <row r="66" spans="1:10" ht="15" customHeight="1">
      <c r="A66" s="14"/>
      <c r="B66" s="17"/>
      <c r="C66" s="17"/>
      <c r="D66" s="17"/>
      <c r="E66" s="21" t="s">
        <v>6</v>
      </c>
      <c r="F66" s="158">
        <f>Input!E20</f>
        <v>460</v>
      </c>
      <c r="G66" s="24" t="s">
        <v>0</v>
      </c>
      <c r="H66" s="22" t="s">
        <v>130</v>
      </c>
      <c r="I66" s="22"/>
      <c r="J66" s="20"/>
    </row>
    <row r="67" spans="1:10" ht="15" customHeight="1">
      <c r="A67" s="14"/>
      <c r="B67" s="17"/>
      <c r="C67" s="17"/>
      <c r="D67" s="18" t="s">
        <v>10</v>
      </c>
      <c r="E67" s="4" t="s">
        <v>8</v>
      </c>
      <c r="F67" s="77">
        <f>((F60*F61*F62*F63*F64)*F66)/F65</f>
        <v>1032.2269452</v>
      </c>
      <c r="G67" s="17"/>
      <c r="H67" s="4" t="s">
        <v>146</v>
      </c>
      <c r="I67" s="4"/>
      <c r="J67" s="20"/>
    </row>
    <row r="68" spans="1:10" ht="15" customHeight="1">
      <c r="A68" s="14"/>
      <c r="B68" s="17"/>
      <c r="C68" s="17"/>
      <c r="D68" s="17"/>
      <c r="E68" s="17"/>
      <c r="F68" s="17"/>
      <c r="G68" s="17"/>
      <c r="H68" s="17"/>
      <c r="I68" s="17"/>
      <c r="J68" s="17"/>
    </row>
    <row r="69" spans="1:10" ht="15" customHeight="1">
      <c r="A69" s="14"/>
      <c r="C69" s="18" t="s">
        <v>131</v>
      </c>
      <c r="D69" s="17"/>
      <c r="E69" s="17"/>
      <c r="F69" s="17"/>
      <c r="G69" s="17"/>
      <c r="H69" s="17"/>
      <c r="I69" s="17"/>
      <c r="J69" s="17"/>
    </row>
    <row r="70" spans="1:10" ht="15" customHeight="1">
      <c r="A70" s="14"/>
      <c r="B70" s="17"/>
      <c r="C70" s="17"/>
      <c r="D70" s="17"/>
      <c r="E70" s="21"/>
      <c r="F70" s="73">
        <f>SUM(1000*Input!E13)</f>
        <v>15000</v>
      </c>
      <c r="G70" s="21"/>
      <c r="H70" s="21" t="s">
        <v>119</v>
      </c>
      <c r="I70" s="21"/>
      <c r="J70" s="20"/>
    </row>
    <row r="71" spans="1:10" ht="15" customHeight="1">
      <c r="A71" s="14"/>
      <c r="B71" s="17"/>
      <c r="C71" s="17"/>
      <c r="D71" s="17"/>
      <c r="E71" s="21" t="s">
        <v>6</v>
      </c>
      <c r="F71" s="74">
        <f>Input!E19</f>
        <v>0.99088</v>
      </c>
      <c r="G71" s="21"/>
      <c r="H71" s="21" t="s">
        <v>120</v>
      </c>
      <c r="I71" s="21"/>
      <c r="J71" s="20"/>
    </row>
    <row r="72" spans="1:10" ht="15" customHeight="1">
      <c r="A72" s="14"/>
      <c r="B72" s="17"/>
      <c r="C72" s="17"/>
      <c r="D72" s="17"/>
      <c r="E72" s="21" t="s">
        <v>6</v>
      </c>
      <c r="F72" s="78">
        <f>Input!E44</f>
        <v>0.915</v>
      </c>
      <c r="G72" s="21"/>
      <c r="H72" s="17" t="s">
        <v>248</v>
      </c>
      <c r="I72" s="17"/>
      <c r="J72" s="20"/>
    </row>
    <row r="73" spans="1:10" ht="15" customHeight="1">
      <c r="A73" s="14"/>
      <c r="B73" s="17"/>
      <c r="C73" s="17"/>
      <c r="D73" s="17"/>
      <c r="E73" s="21" t="s">
        <v>7</v>
      </c>
      <c r="F73" s="68">
        <v>1000</v>
      </c>
      <c r="G73" s="21"/>
      <c r="H73" s="21" t="s">
        <v>116</v>
      </c>
      <c r="I73" s="21"/>
      <c r="J73" s="20"/>
    </row>
    <row r="74" spans="1:10" ht="15" customHeight="1">
      <c r="A74" s="14"/>
      <c r="B74" s="17"/>
      <c r="C74" s="17"/>
      <c r="D74" s="17"/>
      <c r="E74" s="21" t="s">
        <v>6</v>
      </c>
      <c r="F74" s="95">
        <v>16.21</v>
      </c>
      <c r="G74" s="17"/>
      <c r="H74" s="17" t="s">
        <v>247</v>
      </c>
      <c r="I74" s="17"/>
      <c r="J74" s="20"/>
    </row>
    <row r="75" spans="1:10" ht="15" customHeight="1">
      <c r="A75" s="14"/>
      <c r="B75" s="17"/>
      <c r="C75" s="17"/>
      <c r="D75" s="17"/>
      <c r="E75" s="21" t="s">
        <v>7</v>
      </c>
      <c r="F75" s="73">
        <v>1000</v>
      </c>
      <c r="G75" s="21"/>
      <c r="H75" s="21" t="s">
        <v>116</v>
      </c>
      <c r="I75" s="21"/>
      <c r="J75" s="20"/>
    </row>
    <row r="76" spans="1:10" ht="15" customHeight="1">
      <c r="A76" s="14"/>
      <c r="B76" s="17"/>
      <c r="C76" s="17"/>
      <c r="D76" s="17"/>
      <c r="E76" s="21" t="s">
        <v>6</v>
      </c>
      <c r="F76" s="160">
        <f>Input!E22</f>
        <v>600</v>
      </c>
      <c r="G76" s="24" t="s">
        <v>0</v>
      </c>
      <c r="H76" s="181" t="s">
        <v>132</v>
      </c>
      <c r="I76" s="3"/>
      <c r="J76" s="20"/>
    </row>
    <row r="77" spans="1:10" ht="15" customHeight="1">
      <c r="A77" s="14"/>
      <c r="B77" s="17"/>
      <c r="C77" s="17"/>
      <c r="D77" s="18" t="s">
        <v>10</v>
      </c>
      <c r="E77" s="18" t="s">
        <v>8</v>
      </c>
      <c r="F77" s="77">
        <f>SUM(F70*F71*F72/F73*F74/F75*F76)</f>
        <v>132.271927128</v>
      </c>
      <c r="G77" s="17"/>
      <c r="H77" s="4" t="s">
        <v>145</v>
      </c>
      <c r="I77" s="4"/>
      <c r="J77" s="20"/>
    </row>
    <row r="78" spans="1:10" ht="15" customHeight="1">
      <c r="A78" s="14"/>
      <c r="B78" s="17"/>
      <c r="C78" s="17"/>
      <c r="F78" s="45"/>
      <c r="G78" s="17"/>
      <c r="H78" s="18"/>
      <c r="I78" s="18"/>
      <c r="J78" s="40"/>
    </row>
    <row r="79" spans="1:10" ht="15" customHeight="1">
      <c r="A79" s="14"/>
      <c r="B79" s="18" t="s">
        <v>16</v>
      </c>
      <c r="C79" s="18"/>
      <c r="D79" s="17"/>
      <c r="E79" s="17"/>
      <c r="F79" s="17"/>
      <c r="G79" s="17"/>
      <c r="H79" s="17"/>
      <c r="I79" s="17"/>
      <c r="J79" s="17"/>
    </row>
    <row r="80" spans="1:10" ht="15" customHeight="1">
      <c r="A80" s="14"/>
      <c r="C80" s="18" t="s">
        <v>267</v>
      </c>
      <c r="D80" s="17"/>
      <c r="E80" s="17"/>
      <c r="F80" s="17"/>
      <c r="G80" s="17"/>
      <c r="H80" s="17"/>
      <c r="I80" s="17"/>
      <c r="J80" s="17"/>
    </row>
    <row r="81" spans="1:10" ht="15" customHeight="1">
      <c r="A81" s="14"/>
      <c r="B81" s="17"/>
      <c r="C81" s="17"/>
      <c r="D81" s="17"/>
      <c r="E81" s="18"/>
      <c r="F81" s="70">
        <f>F30</f>
        <v>42.49946250000001</v>
      </c>
      <c r="G81" s="21"/>
      <c r="H81" s="18" t="s">
        <v>121</v>
      </c>
      <c r="I81" s="18"/>
      <c r="J81" s="20"/>
    </row>
    <row r="82" spans="1:10" ht="15" customHeight="1">
      <c r="A82" s="14"/>
      <c r="B82" s="17"/>
      <c r="C82" s="17"/>
      <c r="D82" s="17"/>
      <c r="E82" s="21" t="s">
        <v>7</v>
      </c>
      <c r="F82" s="160">
        <f>Input!E34</f>
        <v>30</v>
      </c>
      <c r="G82" s="21"/>
      <c r="H82" s="22" t="s">
        <v>125</v>
      </c>
      <c r="I82" s="22"/>
      <c r="J82" s="20"/>
    </row>
    <row r="83" spans="1:10" ht="15" customHeight="1">
      <c r="A83" s="14"/>
      <c r="B83" s="17"/>
      <c r="C83" s="17"/>
      <c r="D83" s="17"/>
      <c r="E83" s="18"/>
      <c r="F83" s="70">
        <f>SUM(F81/F82)</f>
        <v>1.4166487500000002</v>
      </c>
      <c r="G83" s="21"/>
      <c r="H83" s="18" t="s">
        <v>123</v>
      </c>
      <c r="I83" s="18"/>
      <c r="J83" s="20"/>
    </row>
    <row r="84" spans="1:10" ht="15" customHeight="1">
      <c r="A84" s="14"/>
      <c r="B84" s="17"/>
      <c r="C84" s="17"/>
      <c r="D84" s="17"/>
      <c r="E84" s="21" t="s">
        <v>7</v>
      </c>
      <c r="F84" s="160">
        <f>Input!E35</f>
        <v>8</v>
      </c>
      <c r="G84" s="21"/>
      <c r="H84" s="80" t="s">
        <v>126</v>
      </c>
      <c r="I84" s="80"/>
      <c r="J84" s="20"/>
    </row>
    <row r="85" spans="1:10" ht="15" customHeight="1">
      <c r="A85" s="14"/>
      <c r="B85" s="17"/>
      <c r="C85" s="17"/>
      <c r="D85" s="17"/>
      <c r="E85" s="18"/>
      <c r="F85" s="70">
        <f>SUM(F83/F84)</f>
        <v>0.17708109375000003</v>
      </c>
      <c r="G85" s="21"/>
      <c r="H85" s="18" t="s">
        <v>124</v>
      </c>
      <c r="I85" s="18"/>
      <c r="J85" s="20"/>
    </row>
    <row r="87" spans="1:10" ht="15" customHeight="1">
      <c r="A87" s="14"/>
      <c r="B87" s="17"/>
      <c r="C87" s="17"/>
      <c r="D87" s="17"/>
      <c r="E87" s="21"/>
      <c r="F87" s="96">
        <f>F83</f>
        <v>1.4166487500000002</v>
      </c>
      <c r="G87" s="21"/>
      <c r="H87" s="21" t="s">
        <v>123</v>
      </c>
      <c r="I87" s="21"/>
      <c r="J87" s="20"/>
    </row>
    <row r="88" spans="1:10" ht="15" customHeight="1">
      <c r="A88" s="14"/>
      <c r="B88" s="17"/>
      <c r="C88" s="17"/>
      <c r="D88" s="17"/>
      <c r="E88" s="21" t="s">
        <v>6</v>
      </c>
      <c r="F88" s="96">
        <v>8.5</v>
      </c>
      <c r="G88" s="21"/>
      <c r="H88" s="21" t="s">
        <v>142</v>
      </c>
      <c r="I88" s="21"/>
      <c r="J88" s="20"/>
    </row>
    <row r="89" spans="1:10" ht="15" customHeight="1">
      <c r="A89" s="14"/>
      <c r="B89" s="17"/>
      <c r="C89" s="17"/>
      <c r="D89" s="17"/>
      <c r="E89" s="21" t="s">
        <v>6</v>
      </c>
      <c r="F89" s="99">
        <v>0.75</v>
      </c>
      <c r="G89" s="21"/>
      <c r="H89" s="21" t="s">
        <v>148</v>
      </c>
      <c r="I89" s="21"/>
      <c r="J89" s="20"/>
    </row>
    <row r="90" spans="1:10" ht="15" customHeight="1">
      <c r="A90" s="14"/>
      <c r="B90" s="17"/>
      <c r="C90" s="17"/>
      <c r="D90" s="17"/>
      <c r="E90" s="21" t="s">
        <v>6</v>
      </c>
      <c r="F90" s="100">
        <f>Input!E47</f>
        <v>0.06899</v>
      </c>
      <c r="G90" s="21"/>
      <c r="H90" s="21" t="s">
        <v>264</v>
      </c>
      <c r="I90" s="21"/>
      <c r="J90" s="20"/>
    </row>
    <row r="91" spans="1:10" ht="15" customHeight="1">
      <c r="A91" s="14"/>
      <c r="B91" s="17"/>
      <c r="C91" s="17"/>
      <c r="D91" s="17"/>
      <c r="E91" s="21" t="s">
        <v>6</v>
      </c>
      <c r="F91" s="73">
        <f>Input!E34</f>
        <v>30</v>
      </c>
      <c r="G91" s="21"/>
      <c r="H91" s="21" t="s">
        <v>125</v>
      </c>
      <c r="I91" s="21"/>
      <c r="J91" s="20"/>
    </row>
    <row r="92" spans="1:10" ht="15" customHeight="1">
      <c r="A92" s="14"/>
      <c r="B92" s="17"/>
      <c r="C92" s="17"/>
      <c r="D92" s="17"/>
      <c r="E92" s="21" t="s">
        <v>6</v>
      </c>
      <c r="F92" s="160">
        <f>Input!E35</f>
        <v>8</v>
      </c>
      <c r="G92" s="21"/>
      <c r="H92" s="80" t="s">
        <v>141</v>
      </c>
      <c r="I92" s="80"/>
      <c r="J92" s="20"/>
    </row>
    <row r="93" spans="1:10" ht="15" customHeight="1">
      <c r="A93" s="14"/>
      <c r="B93" s="17"/>
      <c r="C93" s="17"/>
      <c r="D93" s="17"/>
      <c r="E93" s="18" t="s">
        <v>8</v>
      </c>
      <c r="F93" s="77">
        <f>SUM(F87*F88*F89*F90*F91*F92)</f>
        <v>149.533933811625</v>
      </c>
      <c r="G93" s="18"/>
      <c r="H93" s="18" t="s">
        <v>268</v>
      </c>
      <c r="I93" s="18"/>
      <c r="J93" s="20"/>
    </row>
    <row r="94" spans="1:10" ht="15" customHeight="1">
      <c r="A94" s="14"/>
      <c r="B94" s="17"/>
      <c r="C94" s="17"/>
      <c r="D94" s="17"/>
      <c r="E94" s="17"/>
      <c r="F94" s="17"/>
      <c r="G94" s="17"/>
      <c r="H94" s="17"/>
      <c r="I94" s="17"/>
      <c r="J94" s="17"/>
    </row>
    <row r="95" spans="1:10" ht="15" customHeight="1">
      <c r="A95" s="14"/>
      <c r="B95" s="17"/>
      <c r="C95" s="17"/>
      <c r="D95" s="17"/>
      <c r="E95" s="17"/>
      <c r="F95" s="17">
        <f>Input!E13*1000</f>
        <v>15000</v>
      </c>
      <c r="G95" s="17"/>
      <c r="H95" s="21" t="s">
        <v>119</v>
      </c>
      <c r="I95" s="21"/>
      <c r="J95" s="20"/>
    </row>
    <row r="96" spans="1:10" ht="15" customHeight="1">
      <c r="A96" s="14"/>
      <c r="B96" s="17"/>
      <c r="C96" s="17"/>
      <c r="D96" s="17"/>
      <c r="E96" s="21" t="s">
        <v>6</v>
      </c>
      <c r="F96" s="136">
        <v>0.066</v>
      </c>
      <c r="G96" s="17"/>
      <c r="H96" s="17" t="s">
        <v>228</v>
      </c>
      <c r="I96" s="17"/>
      <c r="J96" s="20"/>
    </row>
    <row r="97" spans="1:10" ht="15" customHeight="1">
      <c r="A97" s="14"/>
      <c r="B97" s="17"/>
      <c r="C97" s="17"/>
      <c r="D97" s="17"/>
      <c r="E97" s="21" t="s">
        <v>6</v>
      </c>
      <c r="F97" s="161">
        <f>Input!E47</f>
        <v>0.06899</v>
      </c>
      <c r="G97" s="17"/>
      <c r="H97" s="22" t="s">
        <v>264</v>
      </c>
      <c r="I97" s="22"/>
      <c r="J97" s="20"/>
    </row>
    <row r="98" spans="1:10" ht="15" customHeight="1">
      <c r="A98" s="14"/>
      <c r="B98" s="17"/>
      <c r="C98" s="17"/>
      <c r="D98" s="17"/>
      <c r="E98" s="18" t="s">
        <v>8</v>
      </c>
      <c r="F98" s="11">
        <f>SUM((F95*F96*F97))</f>
        <v>68.3001</v>
      </c>
      <c r="G98" s="17"/>
      <c r="H98" s="18" t="s">
        <v>265</v>
      </c>
      <c r="I98" s="18"/>
      <c r="J98" s="20"/>
    </row>
    <row r="99" spans="1:10" ht="15" customHeight="1">
      <c r="A99" s="14"/>
      <c r="B99" s="17"/>
      <c r="C99" s="17"/>
      <c r="D99" s="17"/>
      <c r="E99" s="17"/>
      <c r="F99" s="17"/>
      <c r="G99" s="17"/>
      <c r="H99" s="17"/>
      <c r="I99" s="17"/>
      <c r="J99" s="17"/>
    </row>
    <row r="100" spans="1:10" ht="15" customHeight="1">
      <c r="A100" s="14"/>
      <c r="B100" s="17"/>
      <c r="C100" s="17"/>
      <c r="D100" s="18" t="s">
        <v>9</v>
      </c>
      <c r="E100" s="18" t="s">
        <v>8</v>
      </c>
      <c r="F100" s="77">
        <f>F98+F93</f>
        <v>217.83403381162498</v>
      </c>
      <c r="G100" s="21"/>
      <c r="H100" s="18" t="s">
        <v>266</v>
      </c>
      <c r="I100" s="18"/>
      <c r="J100" s="20"/>
    </row>
    <row r="101" spans="1:10" ht="15" customHeight="1">
      <c r="A101" s="14"/>
      <c r="B101" s="17"/>
      <c r="C101" s="17"/>
      <c r="D101" s="17"/>
      <c r="E101" s="17"/>
      <c r="F101" s="17"/>
      <c r="G101" s="17"/>
      <c r="H101" s="17"/>
      <c r="I101" s="17"/>
      <c r="J101" s="17"/>
    </row>
    <row r="102" spans="1:10" ht="15" customHeight="1">
      <c r="A102" s="14"/>
      <c r="C102" s="18" t="s">
        <v>149</v>
      </c>
      <c r="D102" s="17"/>
      <c r="E102" s="17"/>
      <c r="F102" s="17"/>
      <c r="G102" s="17"/>
      <c r="H102" s="17"/>
      <c r="I102" s="17"/>
      <c r="J102" s="17"/>
    </row>
    <row r="103" spans="1:10" ht="15" customHeight="1">
      <c r="A103" s="14"/>
      <c r="B103" s="17"/>
      <c r="C103" s="17"/>
      <c r="D103" s="17"/>
      <c r="E103" s="17"/>
      <c r="F103" s="44">
        <f>Input!D60</f>
        <v>20000</v>
      </c>
      <c r="G103" s="17"/>
      <c r="H103" s="17" t="s">
        <v>150</v>
      </c>
      <c r="I103" s="17"/>
      <c r="J103" s="20"/>
    </row>
    <row r="104" spans="1:10" ht="15" customHeight="1">
      <c r="A104" s="14"/>
      <c r="B104" s="17"/>
      <c r="C104" s="17"/>
      <c r="D104" s="17"/>
      <c r="E104" s="21" t="s">
        <v>11</v>
      </c>
      <c r="F104" s="162">
        <f>Input!D65</f>
        <v>15000</v>
      </c>
      <c r="G104" s="21"/>
      <c r="H104" s="22" t="s">
        <v>151</v>
      </c>
      <c r="I104" s="22"/>
      <c r="J104" s="20"/>
    </row>
    <row r="105" spans="1:10" ht="15" customHeight="1">
      <c r="A105" s="14"/>
      <c r="B105" s="17"/>
      <c r="C105" s="17"/>
      <c r="D105" s="17"/>
      <c r="E105" s="4" t="s">
        <v>8</v>
      </c>
      <c r="F105" s="77">
        <f>SUM(F103:F104)</f>
        <v>35000</v>
      </c>
      <c r="G105" s="17"/>
      <c r="H105" s="4" t="s">
        <v>152</v>
      </c>
      <c r="I105" s="17"/>
      <c r="J105" s="20"/>
    </row>
    <row r="106" spans="1:10" ht="15" customHeight="1">
      <c r="A106" s="14"/>
      <c r="B106" s="17"/>
      <c r="C106" s="17"/>
      <c r="D106" s="17"/>
      <c r="E106" s="21" t="s">
        <v>6</v>
      </c>
      <c r="F106" s="102">
        <f>Input!E48/100</f>
        <v>0.025</v>
      </c>
      <c r="G106" s="17"/>
      <c r="H106" s="34" t="s">
        <v>158</v>
      </c>
      <c r="I106" s="34"/>
      <c r="J106" s="20"/>
    </row>
    <row r="107" spans="1:10" ht="15" customHeight="1">
      <c r="A107" s="14"/>
      <c r="B107" s="17"/>
      <c r="C107" s="17"/>
      <c r="D107" s="17"/>
      <c r="E107" s="18" t="s">
        <v>8</v>
      </c>
      <c r="F107" s="11">
        <f>SUM(F105*F106)</f>
        <v>875</v>
      </c>
      <c r="G107" s="17"/>
      <c r="H107" s="18" t="s">
        <v>153</v>
      </c>
      <c r="I107" s="18"/>
      <c r="J107" s="20"/>
    </row>
    <row r="108" spans="1:10" ht="15" customHeight="1">
      <c r="A108" s="14"/>
      <c r="B108" s="17"/>
      <c r="C108" s="17"/>
      <c r="D108" s="17"/>
      <c r="E108" s="17"/>
      <c r="F108" s="17"/>
      <c r="G108" s="17"/>
      <c r="H108" s="17"/>
      <c r="I108" s="17"/>
      <c r="J108" s="17"/>
    </row>
    <row r="109" spans="1:10" ht="15" customHeight="1">
      <c r="A109" s="14"/>
      <c r="C109" s="18" t="s">
        <v>154</v>
      </c>
      <c r="D109" s="17"/>
      <c r="E109" s="17"/>
      <c r="F109" s="17"/>
      <c r="G109" s="17"/>
      <c r="H109" s="17"/>
      <c r="I109" s="17"/>
      <c r="J109" s="17"/>
    </row>
    <row r="110" spans="1:10" ht="15" customHeight="1">
      <c r="A110" s="14"/>
      <c r="B110" s="17"/>
      <c r="C110" s="17"/>
      <c r="D110" s="17"/>
      <c r="E110" s="17"/>
      <c r="F110" s="103">
        <f>Input!E49</f>
        <v>500</v>
      </c>
      <c r="G110" s="17"/>
      <c r="H110" s="17" t="s">
        <v>155</v>
      </c>
      <c r="I110" s="17"/>
      <c r="J110" s="40"/>
    </row>
    <row r="111" spans="1:10" ht="15" customHeight="1">
      <c r="A111" s="14"/>
      <c r="B111" s="17"/>
      <c r="C111" s="17"/>
      <c r="D111" s="17"/>
      <c r="E111" s="17"/>
      <c r="F111" s="17"/>
      <c r="G111" s="17"/>
      <c r="H111" s="17"/>
      <c r="I111" s="17"/>
      <c r="J111" s="17"/>
    </row>
    <row r="112" spans="1:10" ht="15" customHeight="1">
      <c r="A112" s="14"/>
      <c r="C112" s="18" t="s">
        <v>156</v>
      </c>
      <c r="D112" s="17"/>
      <c r="E112" s="17"/>
      <c r="F112" s="17"/>
      <c r="G112" s="17"/>
      <c r="H112" s="17"/>
      <c r="I112" s="17"/>
      <c r="J112" s="17"/>
    </row>
    <row r="113" spans="1:10" ht="15" customHeight="1">
      <c r="A113" s="14"/>
      <c r="B113" s="17"/>
      <c r="C113" s="17"/>
      <c r="D113" s="17"/>
      <c r="E113" s="17"/>
      <c r="F113" s="44">
        <f>Input!D60</f>
        <v>20000</v>
      </c>
      <c r="G113" s="17"/>
      <c r="H113" s="17" t="s">
        <v>150</v>
      </c>
      <c r="I113" s="17"/>
      <c r="J113" s="20"/>
    </row>
    <row r="114" spans="1:10" ht="15" customHeight="1">
      <c r="A114" s="14"/>
      <c r="B114" s="17"/>
      <c r="C114" s="17"/>
      <c r="D114" s="17"/>
      <c r="E114" s="21" t="s">
        <v>11</v>
      </c>
      <c r="F114" s="162">
        <f>Input!D65</f>
        <v>15000</v>
      </c>
      <c r="G114" s="21"/>
      <c r="H114" s="22" t="s">
        <v>151</v>
      </c>
      <c r="I114" s="22"/>
      <c r="J114" s="20"/>
    </row>
    <row r="115" spans="1:10" ht="15" customHeight="1">
      <c r="A115" s="14"/>
      <c r="B115" s="17"/>
      <c r="C115" s="17"/>
      <c r="D115" s="17"/>
      <c r="E115" s="4" t="s">
        <v>8</v>
      </c>
      <c r="F115" s="77">
        <f>SUM(F113:F114)</f>
        <v>35000</v>
      </c>
      <c r="G115" s="17"/>
      <c r="H115" s="4" t="s">
        <v>152</v>
      </c>
      <c r="I115" s="17"/>
      <c r="J115" s="20"/>
    </row>
    <row r="116" spans="1:10" ht="15" customHeight="1">
      <c r="A116" s="14"/>
      <c r="B116" s="17"/>
      <c r="C116" s="17"/>
      <c r="D116" s="17"/>
      <c r="E116" s="22" t="s">
        <v>6</v>
      </c>
      <c r="F116" s="102">
        <f>Input!E50/100</f>
        <v>0.005</v>
      </c>
      <c r="G116" s="17"/>
      <c r="H116" s="34" t="s">
        <v>157</v>
      </c>
      <c r="I116" s="34"/>
      <c r="J116" s="20"/>
    </row>
    <row r="117" spans="1:10" ht="15" customHeight="1">
      <c r="A117" s="14"/>
      <c r="B117" s="17"/>
      <c r="C117" s="17"/>
      <c r="D117" s="17"/>
      <c r="E117" s="18" t="s">
        <v>8</v>
      </c>
      <c r="F117" s="11">
        <f>SUM(F115*F116)</f>
        <v>175</v>
      </c>
      <c r="G117" s="17"/>
      <c r="H117" s="18" t="s">
        <v>159</v>
      </c>
      <c r="I117" s="18"/>
      <c r="J117" s="20"/>
    </row>
    <row r="118" spans="1:10" ht="15" customHeight="1">
      <c r="A118" s="14"/>
      <c r="B118" s="17"/>
      <c r="C118" s="17"/>
      <c r="D118" s="17"/>
      <c r="E118" s="17"/>
      <c r="F118" s="17"/>
      <c r="G118" s="17"/>
      <c r="H118" s="17"/>
      <c r="I118" s="17"/>
      <c r="J118" s="17"/>
    </row>
    <row r="119" spans="1:10" ht="15" customHeight="1">
      <c r="A119" s="14"/>
      <c r="C119" s="18" t="s">
        <v>160</v>
      </c>
      <c r="D119" s="17"/>
      <c r="E119" s="17"/>
      <c r="F119" s="17"/>
      <c r="G119" s="17"/>
      <c r="H119" s="17"/>
      <c r="I119" s="17"/>
      <c r="J119" s="17"/>
    </row>
    <row r="120" spans="1:10" ht="15" customHeight="1">
      <c r="A120" s="14"/>
      <c r="B120" s="17"/>
      <c r="C120" s="17"/>
      <c r="D120" s="17"/>
      <c r="E120" s="17"/>
      <c r="F120" s="44">
        <f>Input!D60</f>
        <v>20000</v>
      </c>
      <c r="G120" s="17"/>
      <c r="H120" s="17" t="s">
        <v>150</v>
      </c>
      <c r="I120" s="17"/>
      <c r="J120" s="20"/>
    </row>
    <row r="121" spans="1:10" ht="15" customHeight="1">
      <c r="A121" s="14"/>
      <c r="B121" s="17"/>
      <c r="C121" s="17"/>
      <c r="D121" s="17"/>
      <c r="E121" s="21" t="s">
        <v>11</v>
      </c>
      <c r="F121" s="162">
        <f>Input!D69</f>
        <v>1000</v>
      </c>
      <c r="G121" s="21"/>
      <c r="H121" s="22" t="s">
        <v>161</v>
      </c>
      <c r="I121" s="22"/>
      <c r="J121" s="20"/>
    </row>
    <row r="122" spans="1:10" ht="15" customHeight="1">
      <c r="A122" s="14"/>
      <c r="B122" s="17"/>
      <c r="C122" s="17"/>
      <c r="D122" s="17"/>
      <c r="E122" s="4" t="s">
        <v>8</v>
      </c>
      <c r="F122" s="77">
        <f>SUM(F120:F121)</f>
        <v>21000</v>
      </c>
      <c r="G122" s="17"/>
      <c r="H122" s="4" t="s">
        <v>162</v>
      </c>
      <c r="I122" s="17"/>
      <c r="J122" s="20"/>
    </row>
    <row r="123" spans="1:10" ht="15" customHeight="1">
      <c r="A123" s="14"/>
      <c r="B123" s="17"/>
      <c r="C123" s="17"/>
      <c r="D123" s="17"/>
      <c r="E123" s="21" t="s">
        <v>6</v>
      </c>
      <c r="F123" s="102">
        <f>Input!E51/100</f>
        <v>0.015</v>
      </c>
      <c r="G123" s="17"/>
      <c r="H123" s="34" t="s">
        <v>163</v>
      </c>
      <c r="I123" s="34"/>
      <c r="J123" s="20"/>
    </row>
    <row r="124" spans="1:10" ht="15" customHeight="1">
      <c r="A124" s="14"/>
      <c r="B124" s="17"/>
      <c r="C124" s="17"/>
      <c r="D124" s="17"/>
      <c r="E124" s="18" t="s">
        <v>8</v>
      </c>
      <c r="F124" s="11">
        <f>SUM(F122*F123)</f>
        <v>315</v>
      </c>
      <c r="G124" s="17"/>
      <c r="H124" s="18" t="s">
        <v>164</v>
      </c>
      <c r="I124" s="18"/>
      <c r="J124" s="20"/>
    </row>
    <row r="125" spans="1:10" ht="15" customHeight="1">
      <c r="A125" s="14"/>
      <c r="B125" s="17"/>
      <c r="C125" s="17"/>
      <c r="D125" s="17"/>
      <c r="E125" s="17"/>
      <c r="F125" s="17"/>
      <c r="G125" s="17"/>
      <c r="H125" s="17"/>
      <c r="I125" s="17"/>
      <c r="J125" s="17"/>
    </row>
    <row r="126" spans="1:10" ht="15" customHeight="1">
      <c r="A126" s="14"/>
      <c r="C126" s="18" t="s">
        <v>167</v>
      </c>
      <c r="D126" s="17"/>
      <c r="E126" s="17"/>
      <c r="F126" s="17"/>
      <c r="G126" s="17"/>
      <c r="H126" s="17"/>
      <c r="I126" s="17"/>
      <c r="J126" s="17"/>
    </row>
    <row r="127" spans="1:10" ht="15" customHeight="1">
      <c r="A127" s="14"/>
      <c r="B127" s="17"/>
      <c r="C127" s="17" t="s">
        <v>42</v>
      </c>
      <c r="D127" s="17"/>
      <c r="E127" s="17"/>
      <c r="F127" s="17"/>
      <c r="G127" s="17"/>
      <c r="H127" s="17"/>
      <c r="I127" s="17"/>
      <c r="J127" s="17"/>
    </row>
    <row r="128" spans="1:10" ht="15" customHeight="1">
      <c r="A128" s="14"/>
      <c r="D128" s="17"/>
      <c r="E128" s="17"/>
      <c r="F128" s="17"/>
      <c r="G128" s="17"/>
      <c r="H128" s="17"/>
      <c r="I128" s="17"/>
      <c r="J128" s="17"/>
    </row>
    <row r="129" spans="1:10" ht="15" customHeight="1">
      <c r="A129" s="14"/>
      <c r="B129" s="17"/>
      <c r="C129" s="17"/>
      <c r="D129" s="17"/>
      <c r="E129" s="17"/>
      <c r="F129" s="44">
        <f>Summary!H19</f>
        <v>2082.834033811625</v>
      </c>
      <c r="G129" s="17"/>
      <c r="H129" s="17" t="s">
        <v>31</v>
      </c>
      <c r="I129" s="17"/>
      <c r="J129" s="20"/>
    </row>
    <row r="130" spans="1:10" ht="15" customHeight="1">
      <c r="A130" s="14"/>
      <c r="B130" s="17"/>
      <c r="C130" s="17"/>
      <c r="D130" s="17"/>
      <c r="E130" s="17" t="s">
        <v>7</v>
      </c>
      <c r="F130" s="59">
        <v>2</v>
      </c>
      <c r="G130" s="17"/>
      <c r="H130" s="17" t="s">
        <v>25</v>
      </c>
      <c r="I130" s="17"/>
      <c r="J130" s="20"/>
    </row>
    <row r="131" spans="1:10" ht="15" customHeight="1">
      <c r="A131" s="14"/>
      <c r="B131" s="17"/>
      <c r="C131" s="17"/>
      <c r="D131" s="17"/>
      <c r="E131" s="21" t="s">
        <v>6</v>
      </c>
      <c r="F131" s="163">
        <f>Input!E54</f>
        <v>5.75</v>
      </c>
      <c r="G131" s="21"/>
      <c r="H131" s="22" t="s">
        <v>169</v>
      </c>
      <c r="I131" s="22"/>
      <c r="J131" s="20"/>
    </row>
    <row r="132" spans="1:10" ht="15" customHeight="1">
      <c r="A132" s="14"/>
      <c r="B132" s="17"/>
      <c r="C132" s="17"/>
      <c r="D132" s="17"/>
      <c r="E132" s="18" t="s">
        <v>8</v>
      </c>
      <c r="F132" s="77">
        <f>ROUND((F129/F130)*(F131),2)/100</f>
        <v>59.881499999999996</v>
      </c>
      <c r="G132" s="18"/>
      <c r="H132" s="18" t="s">
        <v>168</v>
      </c>
      <c r="I132" s="18"/>
      <c r="J132" s="20"/>
    </row>
    <row r="133" spans="1:10" ht="18.75" customHeight="1">
      <c r="A133" s="14"/>
      <c r="B133" s="207" t="s">
        <v>27</v>
      </c>
      <c r="C133" s="208"/>
      <c r="D133" s="208"/>
      <c r="E133" s="208"/>
      <c r="F133" s="208"/>
      <c r="G133" s="208"/>
      <c r="H133" s="208"/>
      <c r="I133" s="208"/>
      <c r="J133" s="208"/>
    </row>
    <row r="134" spans="1:10" ht="15" customHeight="1">
      <c r="A134" s="14"/>
      <c r="B134" s="17"/>
      <c r="C134" s="17"/>
      <c r="D134" s="17"/>
      <c r="E134" s="17"/>
      <c r="F134" s="17"/>
      <c r="G134" s="17"/>
      <c r="H134" s="17"/>
      <c r="I134" s="17"/>
      <c r="J134" s="17"/>
    </row>
    <row r="135" spans="1:10" ht="15" customHeight="1">
      <c r="A135" s="14"/>
      <c r="B135" s="4" t="s">
        <v>176</v>
      </c>
      <c r="C135" s="4"/>
      <c r="D135" s="17"/>
      <c r="E135" s="17"/>
      <c r="F135" s="17"/>
      <c r="G135" s="17"/>
      <c r="H135" s="17"/>
      <c r="I135" s="17"/>
      <c r="J135" s="17"/>
    </row>
    <row r="136" spans="1:10" ht="15" customHeight="1">
      <c r="A136" s="14"/>
      <c r="B136" s="17" t="s">
        <v>177</v>
      </c>
      <c r="C136" s="17"/>
      <c r="D136" s="17"/>
      <c r="E136" s="17"/>
      <c r="F136" s="47">
        <f>Input!D58</f>
        <v>5000</v>
      </c>
      <c r="G136" s="17"/>
      <c r="J136" s="20"/>
    </row>
    <row r="137" spans="1:10" ht="15" customHeight="1">
      <c r="A137" s="14"/>
      <c r="B137" s="17" t="s">
        <v>178</v>
      </c>
      <c r="C137" s="34"/>
      <c r="D137" s="17"/>
      <c r="E137" s="17"/>
      <c r="F137" s="48">
        <f>Input!D59</f>
        <v>15000</v>
      </c>
      <c r="G137" s="17"/>
      <c r="J137" s="20"/>
    </row>
    <row r="138" spans="1:10" ht="15" customHeight="1">
      <c r="A138" s="14"/>
      <c r="B138" s="4" t="s">
        <v>240</v>
      </c>
      <c r="C138" s="4"/>
      <c r="D138" s="17"/>
      <c r="E138" s="17"/>
      <c r="F138" s="46">
        <f>SUM(F136:F137)</f>
        <v>20000</v>
      </c>
      <c r="G138" s="17"/>
      <c r="J138" s="20"/>
    </row>
    <row r="139" spans="1:10" ht="15" customHeight="1">
      <c r="A139" s="14"/>
      <c r="B139" s="17"/>
      <c r="C139" s="17"/>
      <c r="D139" s="17"/>
      <c r="E139" s="17"/>
      <c r="F139" s="27"/>
      <c r="G139" s="17"/>
      <c r="J139" s="17"/>
    </row>
    <row r="140" spans="1:10" ht="15" customHeight="1">
      <c r="A140" s="14"/>
      <c r="B140" s="4" t="s">
        <v>254</v>
      </c>
      <c r="C140" s="4"/>
      <c r="D140" s="17"/>
      <c r="E140" s="17"/>
      <c r="F140" s="27"/>
      <c r="G140" s="17"/>
      <c r="J140" s="17"/>
    </row>
    <row r="141" spans="1:10" ht="15" customHeight="1">
      <c r="A141" s="14"/>
      <c r="B141" s="17" t="s">
        <v>177</v>
      </c>
      <c r="C141" s="17"/>
      <c r="D141" s="17"/>
      <c r="E141" s="17"/>
      <c r="F141" s="47">
        <f>Input!D63</f>
        <v>7500</v>
      </c>
      <c r="G141" s="17"/>
      <c r="J141" s="20"/>
    </row>
    <row r="142" spans="1:10" ht="15" customHeight="1">
      <c r="A142" s="14"/>
      <c r="B142" s="17" t="s">
        <v>178</v>
      </c>
      <c r="C142" s="17"/>
      <c r="D142" s="17"/>
      <c r="E142" s="17"/>
      <c r="F142" s="48">
        <f>Input!D64</f>
        <v>7500</v>
      </c>
      <c r="G142" s="17"/>
      <c r="J142" s="20"/>
    </row>
    <row r="143" spans="1:10" ht="15" customHeight="1">
      <c r="A143" s="14"/>
      <c r="B143" s="4" t="s">
        <v>255</v>
      </c>
      <c r="C143" s="17"/>
      <c r="D143" s="17"/>
      <c r="E143" s="17"/>
      <c r="F143" s="46">
        <f>SUM(F141:F142)</f>
        <v>15000</v>
      </c>
      <c r="G143" s="17"/>
      <c r="J143" s="20"/>
    </row>
    <row r="144" spans="1:10" ht="15" customHeight="1">
      <c r="A144" s="14"/>
      <c r="B144" s="17"/>
      <c r="C144" s="17"/>
      <c r="D144" s="17"/>
      <c r="E144" s="17"/>
      <c r="F144" s="27"/>
      <c r="G144" s="17"/>
      <c r="J144" s="17"/>
    </row>
    <row r="145" spans="1:10" ht="15" customHeight="1">
      <c r="A145" s="14"/>
      <c r="B145" s="4" t="s">
        <v>256</v>
      </c>
      <c r="C145" s="17"/>
      <c r="D145" s="17"/>
      <c r="E145" s="17"/>
      <c r="F145" s="46">
        <f>F138+F143</f>
        <v>35000</v>
      </c>
      <c r="G145" s="17"/>
      <c r="J145" s="20"/>
    </row>
    <row r="146" spans="1:10" ht="15" customHeight="1">
      <c r="A146" s="14"/>
      <c r="B146" s="17"/>
      <c r="C146" s="17"/>
      <c r="D146" s="17"/>
      <c r="E146" s="17"/>
      <c r="F146" s="27"/>
      <c r="G146" s="17"/>
      <c r="J146" s="17"/>
    </row>
    <row r="147" spans="1:10" ht="15" customHeight="1">
      <c r="A147" s="14"/>
      <c r="B147" s="4" t="s">
        <v>179</v>
      </c>
      <c r="C147" s="17"/>
      <c r="D147" s="17"/>
      <c r="E147" s="17"/>
      <c r="F147" s="46">
        <f>Input!D69</f>
        <v>1000</v>
      </c>
      <c r="G147" s="17"/>
      <c r="J147" s="20"/>
    </row>
    <row r="148" spans="1:10" ht="15" customHeight="1">
      <c r="A148" s="14"/>
      <c r="B148" s="17"/>
      <c r="C148" s="17"/>
      <c r="D148" s="17"/>
      <c r="E148" s="17"/>
      <c r="F148" s="27"/>
      <c r="G148" s="17"/>
      <c r="J148" s="17"/>
    </row>
    <row r="149" spans="1:10" ht="15" customHeight="1">
      <c r="A149" s="14"/>
      <c r="B149" s="4" t="s">
        <v>49</v>
      </c>
      <c r="C149" s="17"/>
      <c r="D149" s="17"/>
      <c r="E149" s="17"/>
      <c r="F149" s="46">
        <f>F145+F147</f>
        <v>36000</v>
      </c>
      <c r="G149" s="17"/>
      <c r="J149" s="20"/>
    </row>
    <row r="150" spans="1:10" ht="15" customHeight="1">
      <c r="A150" s="14"/>
      <c r="B150" s="17"/>
      <c r="C150" s="17"/>
      <c r="D150" s="17"/>
      <c r="E150" s="17"/>
      <c r="F150" s="17"/>
      <c r="G150" s="17"/>
      <c r="H150" s="27"/>
      <c r="I150" s="27"/>
      <c r="J150" s="17"/>
    </row>
    <row r="151" spans="1:10" ht="15" customHeight="1">
      <c r="A151" s="14"/>
      <c r="B151" s="17"/>
      <c r="C151" s="17"/>
      <c r="D151" s="17"/>
      <c r="E151" s="17"/>
      <c r="F151" s="17"/>
      <c r="G151" s="17"/>
      <c r="H151" s="17"/>
      <c r="I151" s="17"/>
      <c r="J151" s="17"/>
    </row>
    <row r="152" spans="1:10" ht="15" customHeight="1">
      <c r="A152" s="16"/>
      <c r="B152" s="4" t="s">
        <v>34</v>
      </c>
      <c r="C152" s="17"/>
      <c r="D152" s="17"/>
      <c r="E152" s="17"/>
      <c r="F152" s="17"/>
      <c r="G152" s="17"/>
      <c r="H152" s="17"/>
      <c r="I152" s="17"/>
      <c r="J152" s="17"/>
    </row>
    <row r="153" spans="1:10" ht="15" customHeight="1">
      <c r="A153" s="14"/>
      <c r="B153" s="18" t="s">
        <v>1</v>
      </c>
      <c r="C153" s="18"/>
      <c r="D153" s="17"/>
      <c r="E153" s="17"/>
      <c r="F153" s="209" t="s">
        <v>43</v>
      </c>
      <c r="G153" s="209"/>
      <c r="H153" s="209"/>
      <c r="I153" s="209"/>
      <c r="J153" s="17"/>
    </row>
    <row r="154" spans="1:10" ht="15" customHeight="1">
      <c r="A154" s="14"/>
      <c r="B154" s="18"/>
      <c r="C154" s="18"/>
      <c r="D154" s="17"/>
      <c r="E154" s="17"/>
      <c r="H154" s="30" t="s">
        <v>28</v>
      </c>
      <c r="I154" s="30"/>
      <c r="J154" s="17"/>
    </row>
    <row r="155" spans="1:10" ht="15" customHeight="1">
      <c r="A155" s="14"/>
      <c r="B155" s="18"/>
      <c r="C155" s="18"/>
      <c r="D155" s="17"/>
      <c r="E155" s="17"/>
      <c r="F155" s="30"/>
      <c r="G155" s="30"/>
      <c r="H155" s="30"/>
      <c r="I155" s="30"/>
      <c r="J155" s="17"/>
    </row>
    <row r="156" spans="1:10" ht="15" customHeight="1">
      <c r="A156" s="14"/>
      <c r="C156" s="18" t="s">
        <v>181</v>
      </c>
      <c r="D156" s="17"/>
      <c r="E156" s="17"/>
      <c r="F156" s="8" t="s">
        <v>252</v>
      </c>
      <c r="G156" s="4"/>
      <c r="H156" s="8" t="s">
        <v>251</v>
      </c>
      <c r="I156" s="17"/>
      <c r="J156" s="17"/>
    </row>
    <row r="157" spans="1:10" ht="15" customHeight="1">
      <c r="A157" s="14"/>
      <c r="B157" s="17"/>
      <c r="C157" s="17"/>
      <c r="D157" s="17"/>
      <c r="E157" s="17"/>
      <c r="F157" s="44">
        <f>Input!D58</f>
        <v>5000</v>
      </c>
      <c r="G157" s="17"/>
      <c r="H157" s="44">
        <f>Input!D59</f>
        <v>15000</v>
      </c>
      <c r="I157" s="171" t="s">
        <v>29</v>
      </c>
      <c r="J157" s="20"/>
    </row>
    <row r="158" spans="1:10" ht="15" customHeight="1">
      <c r="A158" s="14"/>
      <c r="B158" s="17"/>
      <c r="C158" s="17"/>
      <c r="D158" s="17"/>
      <c r="E158" s="17" t="s">
        <v>12</v>
      </c>
      <c r="F158" s="57">
        <f>(Input!F58/100)*Input!D58</f>
        <v>500</v>
      </c>
      <c r="G158" s="17"/>
      <c r="H158" s="57">
        <f>(Input!F59/100)*Input!D59</f>
        <v>1500</v>
      </c>
      <c r="I158" s="171" t="s">
        <v>24</v>
      </c>
      <c r="J158" s="20"/>
    </row>
    <row r="159" spans="1:10" ht="15" customHeight="1">
      <c r="A159" s="14"/>
      <c r="B159" s="17"/>
      <c r="C159" s="17"/>
      <c r="D159" s="17"/>
      <c r="E159" s="17" t="s">
        <v>7</v>
      </c>
      <c r="F159" s="175">
        <f>Input!H58</f>
        <v>20</v>
      </c>
      <c r="G159" s="17"/>
      <c r="H159" s="175">
        <f>Input!H59</f>
        <v>20</v>
      </c>
      <c r="I159" s="172" t="s">
        <v>13</v>
      </c>
      <c r="J159" s="20"/>
    </row>
    <row r="160" spans="1:10" ht="15" customHeight="1">
      <c r="A160" s="14"/>
      <c r="B160" s="17"/>
      <c r="C160" s="17"/>
      <c r="D160" s="17"/>
      <c r="E160" s="18" t="s">
        <v>8</v>
      </c>
      <c r="F160" s="77">
        <f>(F157-F158)/F159</f>
        <v>225</v>
      </c>
      <c r="G160" s="18"/>
      <c r="H160" s="77">
        <f>(H157-H158)/H159</f>
        <v>675</v>
      </c>
      <c r="I160" s="18"/>
      <c r="J160" s="20"/>
    </row>
    <row r="161" spans="1:10" ht="15" customHeight="1">
      <c r="A161" s="14"/>
      <c r="B161" s="17"/>
      <c r="C161" s="17"/>
      <c r="D161" s="17"/>
      <c r="E161" s="17"/>
      <c r="F161" s="17"/>
      <c r="G161" s="17"/>
      <c r="H161" s="17"/>
      <c r="I161" s="17"/>
      <c r="J161" s="17"/>
    </row>
    <row r="162" spans="1:10" ht="15" customHeight="1">
      <c r="A162" s="14"/>
      <c r="C162" s="18" t="s">
        <v>250</v>
      </c>
      <c r="D162" s="17"/>
      <c r="E162" s="17"/>
      <c r="F162" s="17"/>
      <c r="G162" s="17"/>
      <c r="H162" s="44"/>
      <c r="I162" s="17"/>
      <c r="J162" s="17"/>
    </row>
    <row r="163" spans="1:10" ht="15" customHeight="1">
      <c r="A163" s="14"/>
      <c r="B163" s="17"/>
      <c r="C163" s="17"/>
      <c r="D163" s="17"/>
      <c r="E163" s="17"/>
      <c r="F163" s="44">
        <f>Input!D63</f>
        <v>7500</v>
      </c>
      <c r="G163" s="17"/>
      <c r="H163" s="44">
        <f>Input!D64</f>
        <v>7500</v>
      </c>
      <c r="I163" s="171" t="s">
        <v>29</v>
      </c>
      <c r="J163" s="20"/>
    </row>
    <row r="164" spans="1:10" ht="15" customHeight="1">
      <c r="A164" s="14"/>
      <c r="B164" s="17"/>
      <c r="C164" s="17"/>
      <c r="D164" s="17"/>
      <c r="E164" s="17" t="s">
        <v>12</v>
      </c>
      <c r="F164" s="57">
        <f>(Input!F64/100)*Input!D64</f>
        <v>750</v>
      </c>
      <c r="G164" s="17"/>
      <c r="H164" s="57">
        <f>(Input!F64/100)*Input!D64</f>
        <v>750</v>
      </c>
      <c r="I164" s="171" t="s">
        <v>24</v>
      </c>
      <c r="J164" s="20"/>
    </row>
    <row r="165" spans="1:10" ht="15" customHeight="1">
      <c r="A165" s="14"/>
      <c r="B165" s="17"/>
      <c r="C165" s="17"/>
      <c r="D165" s="17"/>
      <c r="E165" s="17" t="s">
        <v>7</v>
      </c>
      <c r="F165" s="175">
        <f>Input!H63</f>
        <v>10</v>
      </c>
      <c r="G165" s="17"/>
      <c r="H165" s="176">
        <f>Input!H64</f>
        <v>10</v>
      </c>
      <c r="I165" s="172" t="s">
        <v>13</v>
      </c>
      <c r="J165" s="20"/>
    </row>
    <row r="166" spans="1:10" ht="15" customHeight="1">
      <c r="A166" s="14"/>
      <c r="B166" s="17"/>
      <c r="C166" s="17"/>
      <c r="D166" s="17"/>
      <c r="E166" s="18" t="s">
        <v>8</v>
      </c>
      <c r="F166" s="77">
        <f>(F163-F164)/F165</f>
        <v>675</v>
      </c>
      <c r="G166" s="18"/>
      <c r="H166" s="77">
        <f>(H163-H164)/H165</f>
        <v>675</v>
      </c>
      <c r="I166" s="18"/>
      <c r="J166" s="20"/>
    </row>
    <row r="167" spans="1:10" ht="15" customHeight="1">
      <c r="A167" s="14"/>
      <c r="B167" s="4" t="s">
        <v>257</v>
      </c>
      <c r="D167" s="17"/>
      <c r="E167" s="177" t="s">
        <v>8</v>
      </c>
      <c r="F167" s="77">
        <f>F160+H160+H166+F166</f>
        <v>2250</v>
      </c>
      <c r="G167" s="18"/>
      <c r="H167" s="77"/>
      <c r="I167" s="18"/>
      <c r="J167" s="37"/>
    </row>
    <row r="168" spans="1:10" ht="15" customHeight="1">
      <c r="A168" s="14"/>
      <c r="B168" s="17"/>
      <c r="C168" s="17"/>
      <c r="D168" s="17"/>
      <c r="E168" s="17"/>
      <c r="F168" s="17"/>
      <c r="G168" s="17"/>
      <c r="H168" s="17" t="s">
        <v>0</v>
      </c>
      <c r="I168" s="17"/>
      <c r="J168" s="17"/>
    </row>
    <row r="169" spans="1:10" ht="15" customHeight="1">
      <c r="A169" s="14"/>
      <c r="B169" s="18" t="s">
        <v>3</v>
      </c>
      <c r="C169" s="18"/>
      <c r="D169" s="17"/>
      <c r="E169" s="17"/>
      <c r="F169" s="209" t="s">
        <v>241</v>
      </c>
      <c r="G169" s="209"/>
      <c r="H169" s="209"/>
      <c r="I169" s="209"/>
      <c r="J169" s="4"/>
    </row>
    <row r="170" spans="1:10" ht="15" customHeight="1">
      <c r="A170" s="14"/>
      <c r="B170" s="18"/>
      <c r="C170" s="18"/>
      <c r="D170" s="17"/>
      <c r="E170" s="17"/>
      <c r="F170" s="28"/>
      <c r="H170" s="174" t="s">
        <v>30</v>
      </c>
      <c r="I170" s="167"/>
      <c r="J170" s="83"/>
    </row>
    <row r="171" spans="1:10" ht="15" customHeight="1">
      <c r="A171" s="14"/>
      <c r="C171" s="18" t="s">
        <v>33</v>
      </c>
      <c r="D171" s="17"/>
      <c r="E171" s="17"/>
      <c r="F171" s="8" t="s">
        <v>252</v>
      </c>
      <c r="G171" s="4"/>
      <c r="H171" s="8" t="s">
        <v>251</v>
      </c>
      <c r="I171" s="17"/>
      <c r="J171" s="17"/>
    </row>
    <row r="172" spans="1:10" ht="15" customHeight="1">
      <c r="A172" s="14"/>
      <c r="B172" s="17"/>
      <c r="C172" s="17"/>
      <c r="D172" s="17"/>
      <c r="E172" s="17"/>
      <c r="F172" s="44">
        <f>F157</f>
        <v>5000</v>
      </c>
      <c r="G172" s="17"/>
      <c r="H172" s="44">
        <f>H157</f>
        <v>15000</v>
      </c>
      <c r="I172" s="171" t="s">
        <v>29</v>
      </c>
      <c r="J172" s="20"/>
    </row>
    <row r="173" spans="1:10" ht="15" customHeight="1">
      <c r="A173" s="14"/>
      <c r="B173" s="17"/>
      <c r="C173" s="17"/>
      <c r="D173" s="17"/>
      <c r="E173" s="17" t="s">
        <v>11</v>
      </c>
      <c r="F173" s="44">
        <f>F158</f>
        <v>500</v>
      </c>
      <c r="G173" s="17"/>
      <c r="H173" s="44">
        <f>H158</f>
        <v>1500</v>
      </c>
      <c r="I173" s="171" t="s">
        <v>24</v>
      </c>
      <c r="J173" s="20"/>
    </row>
    <row r="174" spans="1:10" ht="15" customHeight="1">
      <c r="A174" s="14"/>
      <c r="B174" s="17"/>
      <c r="C174" s="17"/>
      <c r="D174" s="17"/>
      <c r="E174" s="17" t="s">
        <v>7</v>
      </c>
      <c r="F174" s="59">
        <v>2</v>
      </c>
      <c r="G174" s="17"/>
      <c r="H174" s="59">
        <v>2</v>
      </c>
      <c r="I174" s="171" t="s">
        <v>25</v>
      </c>
      <c r="J174" s="20"/>
    </row>
    <row r="175" spans="1:10" ht="15" customHeight="1">
      <c r="A175" s="14"/>
      <c r="B175" s="17"/>
      <c r="C175" s="17"/>
      <c r="D175" s="17"/>
      <c r="E175" s="17" t="s">
        <v>6</v>
      </c>
      <c r="F175" s="163">
        <f>Input!$E$53</f>
        <v>1.75</v>
      </c>
      <c r="G175" s="17"/>
      <c r="H175" s="163">
        <f>Input!$E$53</f>
        <v>1.75</v>
      </c>
      <c r="I175" s="179" t="s">
        <v>45</v>
      </c>
      <c r="J175" s="20"/>
    </row>
    <row r="176" spans="1:10" ht="15" customHeight="1">
      <c r="A176" s="14"/>
      <c r="B176" s="17"/>
      <c r="C176" s="17"/>
      <c r="D176" s="17"/>
      <c r="E176" s="18" t="s">
        <v>8</v>
      </c>
      <c r="F176" s="77">
        <f>(((F172+F173)/F174)*(F175/100))</f>
        <v>48.12500000000001</v>
      </c>
      <c r="G176" s="18"/>
      <c r="H176" s="77">
        <f>(((H172+H173)/H174)*(H175/100))</f>
        <v>144.375</v>
      </c>
      <c r="I176" s="18"/>
      <c r="J176" s="20"/>
    </row>
    <row r="177" spans="1:10" ht="15" customHeight="1">
      <c r="A177" s="14"/>
      <c r="B177" s="17"/>
      <c r="C177" s="17"/>
      <c r="D177" s="17"/>
      <c r="E177" s="17"/>
      <c r="F177" s="17"/>
      <c r="G177" s="17"/>
      <c r="H177" s="17"/>
      <c r="I177" s="17"/>
      <c r="J177" s="17"/>
    </row>
    <row r="178" spans="1:10" ht="15" customHeight="1">
      <c r="A178" s="14"/>
      <c r="C178" s="18" t="s">
        <v>253</v>
      </c>
      <c r="D178" s="17"/>
      <c r="E178" s="17"/>
      <c r="F178" s="17"/>
      <c r="G178" s="17"/>
      <c r="H178" s="17"/>
      <c r="I178" s="17"/>
      <c r="J178" s="17"/>
    </row>
    <row r="179" spans="1:10" ht="15" customHeight="1">
      <c r="A179" s="14"/>
      <c r="B179" s="17"/>
      <c r="C179" s="17"/>
      <c r="D179" s="17"/>
      <c r="E179" s="17"/>
      <c r="F179" s="44">
        <f>F163</f>
        <v>7500</v>
      </c>
      <c r="G179" s="17"/>
      <c r="H179" s="44">
        <f>H163</f>
        <v>7500</v>
      </c>
      <c r="I179" s="171" t="s">
        <v>29</v>
      </c>
      <c r="J179" s="20"/>
    </row>
    <row r="180" spans="1:10" ht="15" customHeight="1">
      <c r="A180" s="14"/>
      <c r="B180" s="17"/>
      <c r="C180" s="17"/>
      <c r="D180" s="17"/>
      <c r="E180" s="17" t="s">
        <v>11</v>
      </c>
      <c r="F180" s="44">
        <f>F164</f>
        <v>750</v>
      </c>
      <c r="G180" s="17"/>
      <c r="H180" s="44">
        <f>H164</f>
        <v>750</v>
      </c>
      <c r="I180" s="171" t="s">
        <v>24</v>
      </c>
      <c r="J180" s="20"/>
    </row>
    <row r="181" spans="1:10" ht="15" customHeight="1">
      <c r="A181" s="14"/>
      <c r="B181" s="17"/>
      <c r="C181" s="17"/>
      <c r="D181" s="17"/>
      <c r="E181" s="17" t="s">
        <v>7</v>
      </c>
      <c r="F181" s="59">
        <v>2</v>
      </c>
      <c r="G181" s="17"/>
      <c r="H181" s="59">
        <v>2</v>
      </c>
      <c r="I181" s="171" t="s">
        <v>25</v>
      </c>
      <c r="J181" s="20"/>
    </row>
    <row r="182" spans="1:10" ht="15" customHeight="1">
      <c r="A182" s="14"/>
      <c r="B182" s="17"/>
      <c r="C182" s="17"/>
      <c r="D182" s="17"/>
      <c r="E182" s="17" t="s">
        <v>6</v>
      </c>
      <c r="F182" s="163">
        <f>Input!$E$53</f>
        <v>1.75</v>
      </c>
      <c r="G182" s="17"/>
      <c r="H182" s="163">
        <f>Input!$E$53</f>
        <v>1.75</v>
      </c>
      <c r="I182" s="179" t="s">
        <v>45</v>
      </c>
      <c r="J182" s="20"/>
    </row>
    <row r="183" spans="1:10" ht="15" customHeight="1">
      <c r="A183" s="14"/>
      <c r="B183" s="17"/>
      <c r="C183" s="17"/>
      <c r="D183" s="17"/>
      <c r="E183" s="4" t="s">
        <v>8</v>
      </c>
      <c r="F183" s="77">
        <f>(((F179+F180)/F181)*(F182/100))</f>
        <v>72.1875</v>
      </c>
      <c r="G183" s="4"/>
      <c r="H183" s="77">
        <f>(((H179+H180)/H181)*(H182/100))</f>
        <v>72.1875</v>
      </c>
      <c r="I183" s="4"/>
      <c r="J183" s="20"/>
    </row>
    <row r="184" spans="1:10" ht="15" customHeight="1">
      <c r="A184" s="14"/>
      <c r="B184" s="17"/>
      <c r="C184" s="17"/>
      <c r="D184" s="17"/>
      <c r="E184" s="17"/>
      <c r="F184" s="17"/>
      <c r="G184" s="17"/>
      <c r="H184" s="17"/>
      <c r="I184" s="17"/>
      <c r="J184" s="17"/>
    </row>
    <row r="185" spans="1:10" ht="15" customHeight="1">
      <c r="A185" s="14"/>
      <c r="C185" s="18" t="s">
        <v>182</v>
      </c>
      <c r="D185" s="17"/>
      <c r="E185" s="17"/>
      <c r="F185" s="17"/>
      <c r="G185" s="17"/>
      <c r="H185" s="17"/>
      <c r="I185" s="17"/>
      <c r="J185" s="17"/>
    </row>
    <row r="186" spans="1:10" ht="15" customHeight="1">
      <c r="A186" s="14"/>
      <c r="B186" s="17"/>
      <c r="C186" s="17"/>
      <c r="D186" s="17"/>
      <c r="E186" s="17"/>
      <c r="F186" s="44">
        <f>Input!D69</f>
        <v>1000</v>
      </c>
      <c r="G186" s="17"/>
      <c r="I186" s="171" t="s">
        <v>259</v>
      </c>
      <c r="J186" s="20"/>
    </row>
    <row r="187" spans="1:10" ht="15" customHeight="1">
      <c r="A187" s="14"/>
      <c r="B187" s="17"/>
      <c r="C187" s="17"/>
      <c r="D187" s="17"/>
      <c r="E187" s="21" t="s">
        <v>6</v>
      </c>
      <c r="F187" s="163">
        <f>Input!$E$53</f>
        <v>1.75</v>
      </c>
      <c r="G187" s="19"/>
      <c r="I187" s="180" t="s">
        <v>45</v>
      </c>
      <c r="J187" s="20"/>
    </row>
    <row r="188" spans="1:10" ht="15" customHeight="1">
      <c r="A188" s="14"/>
      <c r="B188" s="17"/>
      <c r="C188" s="17"/>
      <c r="D188" s="17"/>
      <c r="E188" s="18" t="s">
        <v>8</v>
      </c>
      <c r="F188" s="178">
        <f>SUM(F186*(F187/100))</f>
        <v>17.5</v>
      </c>
      <c r="G188" s="18"/>
      <c r="H188" s="18"/>
      <c r="I188" s="18"/>
      <c r="J188" s="20"/>
    </row>
    <row r="189" spans="1:10" ht="15" customHeight="1">
      <c r="A189" s="14"/>
      <c r="B189" s="4" t="s">
        <v>258</v>
      </c>
      <c r="C189" s="17"/>
      <c r="D189" s="17"/>
      <c r="E189" s="177" t="s">
        <v>8</v>
      </c>
      <c r="F189" s="77">
        <f>F176+H176+F183+H183+F188</f>
        <v>354.375</v>
      </c>
      <c r="G189" s="18"/>
      <c r="H189" s="18"/>
      <c r="I189" s="18"/>
      <c r="J189" s="37"/>
    </row>
    <row r="190" spans="1:10" ht="15" customHeight="1">
      <c r="A190" s="14"/>
      <c r="C190" s="17"/>
      <c r="D190" s="17"/>
      <c r="E190" s="17"/>
      <c r="F190" s="17"/>
      <c r="G190" s="17"/>
      <c r="H190" s="17"/>
      <c r="I190" s="17"/>
      <c r="J190" s="17"/>
    </row>
    <row r="191" spans="1:11" ht="15" customHeight="1">
      <c r="A191" s="16"/>
      <c r="B191" s="18" t="s">
        <v>51</v>
      </c>
      <c r="C191" s="18"/>
      <c r="D191" s="17"/>
      <c r="E191" s="17"/>
      <c r="F191" s="17"/>
      <c r="G191" s="17"/>
      <c r="H191" s="17"/>
      <c r="I191" s="17"/>
      <c r="J191" s="17"/>
      <c r="K191" s="14"/>
    </row>
    <row r="192" spans="1:10" ht="15" customHeight="1">
      <c r="A192" s="14"/>
      <c r="C192" s="4" t="s">
        <v>172</v>
      </c>
      <c r="D192" s="17"/>
      <c r="E192" s="17"/>
      <c r="F192" s="17"/>
      <c r="G192" s="17"/>
      <c r="H192" s="17"/>
      <c r="I192" s="17"/>
      <c r="J192" s="17"/>
    </row>
    <row r="193" spans="1:10" ht="15" customHeight="1">
      <c r="A193" s="14"/>
      <c r="B193" s="17"/>
      <c r="C193" s="17"/>
      <c r="D193" s="17"/>
      <c r="E193" s="18"/>
      <c r="F193" s="96">
        <f>Input!E36</f>
        <v>0.25</v>
      </c>
      <c r="G193" s="21"/>
      <c r="H193" s="17" t="s">
        <v>245</v>
      </c>
      <c r="I193" s="17"/>
      <c r="J193" s="20"/>
    </row>
    <row r="194" spans="1:10" ht="15" customHeight="1">
      <c r="A194" s="14"/>
      <c r="B194" s="17"/>
      <c r="C194" s="17"/>
      <c r="D194" s="17"/>
      <c r="E194" s="21" t="s">
        <v>6</v>
      </c>
      <c r="F194" s="73">
        <f>Input!E34</f>
        <v>30</v>
      </c>
      <c r="G194" s="21"/>
      <c r="H194" s="21" t="s">
        <v>244</v>
      </c>
      <c r="I194" s="21"/>
      <c r="J194" s="20"/>
    </row>
    <row r="195" spans="1:10" ht="15" customHeight="1">
      <c r="A195" s="14"/>
      <c r="B195" s="17"/>
      <c r="C195" s="17"/>
      <c r="D195" s="17"/>
      <c r="E195" s="21" t="s">
        <v>6</v>
      </c>
      <c r="F195" s="73">
        <f>Input!E35</f>
        <v>8</v>
      </c>
      <c r="G195" s="21"/>
      <c r="H195" s="17" t="s">
        <v>243</v>
      </c>
      <c r="I195" s="17"/>
      <c r="J195" s="20"/>
    </row>
    <row r="196" spans="1:10" ht="15" customHeight="1">
      <c r="A196" s="14"/>
      <c r="B196" s="17"/>
      <c r="C196" s="17"/>
      <c r="D196" s="17"/>
      <c r="E196" s="21" t="s">
        <v>6</v>
      </c>
      <c r="F196" s="158">
        <f>Input!E37</f>
        <v>12</v>
      </c>
      <c r="G196" s="21"/>
      <c r="H196" s="34" t="s">
        <v>242</v>
      </c>
      <c r="I196" s="34"/>
      <c r="J196" s="20"/>
    </row>
    <row r="197" spans="1:10" ht="15" customHeight="1">
      <c r="A197" s="14"/>
      <c r="B197" s="17"/>
      <c r="C197" s="17"/>
      <c r="D197" s="26" t="s">
        <v>48</v>
      </c>
      <c r="E197" s="4" t="s">
        <v>8</v>
      </c>
      <c r="F197" s="77">
        <f>SUM(F193*F194*F195*F196)</f>
        <v>720</v>
      </c>
      <c r="G197" s="21"/>
      <c r="H197" s="4" t="s">
        <v>201</v>
      </c>
      <c r="I197" s="17"/>
      <c r="J197" s="20"/>
    </row>
    <row r="198" spans="1:10" ht="15" customHeight="1">
      <c r="A198" s="14"/>
      <c r="B198" s="17"/>
      <c r="D198" s="26"/>
      <c r="E198" s="17"/>
      <c r="F198" s="19">
        <f>SUM((Input!E34*Input!E35)*Input!E36)/(40*48)</f>
        <v>0.03125</v>
      </c>
      <c r="G198" s="17"/>
      <c r="H198" s="17" t="s">
        <v>175</v>
      </c>
      <c r="I198" s="17"/>
      <c r="J198" s="20"/>
    </row>
    <row r="199" spans="1:10" ht="15" customHeight="1">
      <c r="A199" s="14"/>
      <c r="C199" s="4" t="s">
        <v>173</v>
      </c>
      <c r="D199" s="17"/>
      <c r="E199" s="17"/>
      <c r="F199" s="17"/>
      <c r="G199" s="17"/>
      <c r="H199" s="17"/>
      <c r="I199" s="17"/>
      <c r="J199" s="17"/>
    </row>
    <row r="200" spans="1:10" ht="15" customHeight="1">
      <c r="A200" s="14"/>
      <c r="B200" s="17"/>
      <c r="C200" s="17"/>
      <c r="D200" s="17"/>
      <c r="E200" s="18"/>
      <c r="F200" s="96">
        <f>Input!E16</f>
        <v>0.25</v>
      </c>
      <c r="G200" s="21"/>
      <c r="H200" s="3" t="s">
        <v>171</v>
      </c>
      <c r="I200" s="3"/>
      <c r="J200" s="20"/>
    </row>
    <row r="201" spans="1:10" ht="15" customHeight="1">
      <c r="A201" s="14"/>
      <c r="B201" s="17"/>
      <c r="C201" s="17"/>
      <c r="D201" s="17"/>
      <c r="E201" s="21" t="s">
        <v>6</v>
      </c>
      <c r="F201" s="73">
        <f>Input!E14</f>
        <v>30</v>
      </c>
      <c r="G201" s="21"/>
      <c r="H201" s="21" t="s">
        <v>66</v>
      </c>
      <c r="I201" s="21"/>
      <c r="J201" s="20"/>
    </row>
    <row r="202" spans="1:10" ht="15" customHeight="1">
      <c r="A202" s="14"/>
      <c r="B202" s="17"/>
      <c r="C202" s="17"/>
      <c r="D202" s="17"/>
      <c r="E202" s="21" t="s">
        <v>6</v>
      </c>
      <c r="F202" s="73">
        <f>Input!E15</f>
        <v>8</v>
      </c>
      <c r="G202" s="21"/>
      <c r="H202" s="81" t="s">
        <v>67</v>
      </c>
      <c r="I202" s="81"/>
      <c r="J202" s="20"/>
    </row>
    <row r="203" spans="1:10" ht="15" customHeight="1">
      <c r="A203" s="14"/>
      <c r="B203" s="17"/>
      <c r="C203" s="17"/>
      <c r="D203" s="17"/>
      <c r="E203" s="21" t="s">
        <v>6</v>
      </c>
      <c r="F203" s="158">
        <f>Input!E17</f>
        <v>12</v>
      </c>
      <c r="G203" s="21"/>
      <c r="H203" s="80" t="s">
        <v>127</v>
      </c>
      <c r="I203" s="80"/>
      <c r="J203" s="20"/>
    </row>
    <row r="204" spans="1:10" ht="15" customHeight="1">
      <c r="A204" s="14"/>
      <c r="B204" s="17"/>
      <c r="C204" s="17"/>
      <c r="D204" s="107" t="s">
        <v>48</v>
      </c>
      <c r="E204" s="4" t="s">
        <v>8</v>
      </c>
      <c r="F204" s="77">
        <f>SUM(F200*F201*F202*F203)</f>
        <v>720</v>
      </c>
      <c r="G204" s="21"/>
      <c r="H204" s="4" t="s">
        <v>202</v>
      </c>
      <c r="I204" s="17"/>
      <c r="J204" s="20"/>
    </row>
    <row r="205" spans="1:10" ht="15" customHeight="1">
      <c r="A205" s="14"/>
      <c r="B205" s="17"/>
      <c r="D205" s="26"/>
      <c r="E205" s="17"/>
      <c r="F205" s="19">
        <f>SUM((Input!E14*Input!E15)*Input!E16)/(40*48)</f>
        <v>0.03125</v>
      </c>
      <c r="G205" s="17"/>
      <c r="H205" s="17" t="s">
        <v>175</v>
      </c>
      <c r="I205" s="17"/>
      <c r="J205" s="20"/>
    </row>
    <row r="206" spans="1:10" ht="15" customHeight="1">
      <c r="A206" s="14"/>
      <c r="B206" s="17"/>
      <c r="D206" s="26"/>
      <c r="E206" s="17"/>
      <c r="F206" s="27"/>
      <c r="G206" s="17"/>
      <c r="H206" s="17"/>
      <c r="I206" s="17"/>
      <c r="J206" s="17"/>
    </row>
    <row r="207" spans="1:10" ht="15" customHeight="1">
      <c r="A207" s="14"/>
      <c r="B207" s="17"/>
      <c r="C207" s="18" t="s">
        <v>10</v>
      </c>
      <c r="E207" s="18" t="s">
        <v>8</v>
      </c>
      <c r="F207" s="77">
        <f>F204+F197</f>
        <v>1440</v>
      </c>
      <c r="G207" s="17"/>
      <c r="H207" s="18" t="s">
        <v>174</v>
      </c>
      <c r="I207" s="18"/>
      <c r="J207" s="20"/>
    </row>
    <row r="208" spans="1:10" ht="15" customHeight="1">
      <c r="A208" s="14"/>
      <c r="B208" s="17"/>
      <c r="C208" s="18" t="s">
        <v>10</v>
      </c>
      <c r="E208" s="18" t="s">
        <v>8</v>
      </c>
      <c r="F208" s="106">
        <f>SUM(F205+F198)</f>
        <v>0.0625</v>
      </c>
      <c r="G208" s="107"/>
      <c r="H208" s="4" t="s">
        <v>175</v>
      </c>
      <c r="I208" s="4"/>
      <c r="J208" s="20"/>
    </row>
    <row r="209" spans="1:10" ht="15" customHeight="1">
      <c r="A209" s="14"/>
      <c r="B209" s="17"/>
      <c r="C209" s="18"/>
      <c r="E209" s="18"/>
      <c r="F209" s="106"/>
      <c r="G209" s="107"/>
      <c r="H209" s="4"/>
      <c r="I209" s="4"/>
      <c r="J209" s="40"/>
    </row>
    <row r="210" spans="1:10" ht="15" customHeight="1">
      <c r="A210" s="14"/>
      <c r="B210" s="18" t="s">
        <v>211</v>
      </c>
      <c r="C210" s="18"/>
      <c r="D210" s="17"/>
      <c r="E210" s="17"/>
      <c r="F210" s="17"/>
      <c r="G210" s="17"/>
      <c r="H210" s="17"/>
      <c r="I210" s="17"/>
      <c r="J210" s="17"/>
    </row>
    <row r="211" spans="1:10" ht="15" customHeight="1">
      <c r="A211" s="14"/>
      <c r="C211" s="18" t="s">
        <v>204</v>
      </c>
      <c r="D211" s="17"/>
      <c r="E211" s="17"/>
      <c r="F211" s="17"/>
      <c r="G211" s="17"/>
      <c r="H211" s="17"/>
      <c r="I211" s="17"/>
      <c r="J211" s="17"/>
    </row>
    <row r="212" spans="1:10" ht="15" customHeight="1">
      <c r="A212" s="14"/>
      <c r="B212" s="17"/>
      <c r="C212" s="17"/>
      <c r="D212" s="17"/>
      <c r="E212" s="18"/>
      <c r="F212" s="108">
        <f>Input!E25</f>
        <v>0.885</v>
      </c>
      <c r="G212" s="21"/>
      <c r="H212" s="3" t="s">
        <v>220</v>
      </c>
      <c r="I212" s="3"/>
      <c r="J212" s="20"/>
    </row>
    <row r="213" spans="1:10" ht="15" customHeight="1">
      <c r="A213" s="14"/>
      <c r="B213" s="17"/>
      <c r="C213" s="18"/>
      <c r="E213" s="21" t="s">
        <v>6</v>
      </c>
      <c r="F213" s="160">
        <f>SUM(1000*Input!E13)</f>
        <v>15000</v>
      </c>
      <c r="G213" s="21"/>
      <c r="H213" s="22" t="s">
        <v>119</v>
      </c>
      <c r="I213" s="22"/>
      <c r="J213" s="20"/>
    </row>
    <row r="214" spans="1:10" ht="15" customHeight="1">
      <c r="A214" s="14"/>
      <c r="B214" s="17"/>
      <c r="C214" s="18"/>
      <c r="D214" s="18" t="s">
        <v>9</v>
      </c>
      <c r="E214" s="18" t="s">
        <v>8</v>
      </c>
      <c r="F214" s="11">
        <f>F213*F212</f>
        <v>13275</v>
      </c>
      <c r="G214" s="107"/>
      <c r="H214" s="4" t="s">
        <v>216</v>
      </c>
      <c r="I214" s="4"/>
      <c r="J214" s="20"/>
    </row>
    <row r="215" spans="1:10" ht="15" customHeight="1">
      <c r="A215" s="14"/>
      <c r="B215" s="17"/>
      <c r="C215" s="18"/>
      <c r="D215" s="18"/>
      <c r="E215" s="18"/>
      <c r="F215" s="11"/>
      <c r="G215" s="107"/>
      <c r="H215" s="4"/>
      <c r="I215" s="4"/>
      <c r="J215" s="40"/>
    </row>
    <row r="216" spans="1:10" ht="15" customHeight="1">
      <c r="A216" s="14"/>
      <c r="C216" s="18" t="s">
        <v>221</v>
      </c>
      <c r="D216" s="17"/>
      <c r="E216" s="17"/>
      <c r="F216" s="17"/>
      <c r="G216" s="17"/>
      <c r="H216" s="17"/>
      <c r="I216" s="17"/>
      <c r="J216" s="17"/>
    </row>
    <row r="217" spans="1:10" ht="15" customHeight="1">
      <c r="A217" s="14"/>
      <c r="B217" s="17"/>
      <c r="C217" s="17"/>
      <c r="D217" s="17"/>
      <c r="E217" s="18"/>
      <c r="F217" s="111">
        <f>SUM(1*(1-(Input!E27/100)))*(1*(1-(Input!E26/100)))</f>
        <v>0.796</v>
      </c>
      <c r="G217" s="21"/>
      <c r="H217" s="3" t="str">
        <f>"Diesel fuel used - portion of B"&amp;Input!E26&amp;" blend"</f>
        <v>Diesel fuel used - portion of B20 blend</v>
      </c>
      <c r="I217" s="3"/>
      <c r="J217" s="20"/>
    </row>
    <row r="218" spans="1:10" ht="15" customHeight="1">
      <c r="A218" s="14"/>
      <c r="B218" s="17"/>
      <c r="C218" s="17"/>
      <c r="D218" s="17"/>
      <c r="E218" s="21" t="s">
        <v>6</v>
      </c>
      <c r="F218" s="164">
        <f>Input!E25</f>
        <v>0.885</v>
      </c>
      <c r="G218" s="21"/>
      <c r="H218" s="3" t="s">
        <v>220</v>
      </c>
      <c r="I218" s="3"/>
      <c r="J218" s="20"/>
    </row>
    <row r="219" spans="1:10" ht="15" customHeight="1">
      <c r="A219" s="14"/>
      <c r="B219" s="17"/>
      <c r="C219" s="17"/>
      <c r="D219" s="17"/>
      <c r="E219" s="4" t="s">
        <v>8</v>
      </c>
      <c r="F219" s="89">
        <f>SUM(F217*F218)</f>
        <v>0.7044600000000001</v>
      </c>
      <c r="G219" s="21"/>
      <c r="H219" s="4" t="str">
        <f>"Diesel fuel value - portion of B"&amp;Input!E26&amp;" blend"</f>
        <v>Diesel fuel value - portion of B20 blend</v>
      </c>
      <c r="I219" s="3"/>
      <c r="J219" s="37"/>
    </row>
    <row r="220" spans="1:10" ht="15" customHeight="1">
      <c r="A220" s="14"/>
      <c r="B220" s="17"/>
      <c r="C220" s="17"/>
      <c r="D220" s="17"/>
      <c r="E220" s="18"/>
      <c r="F220" s="111"/>
      <c r="G220" s="21"/>
      <c r="H220" s="3"/>
      <c r="I220" s="3"/>
      <c r="J220" s="40"/>
    </row>
    <row r="221" spans="1:10" ht="15" customHeight="1">
      <c r="A221" s="14"/>
      <c r="B221" s="17"/>
      <c r="C221" s="17"/>
      <c r="D221" s="17"/>
      <c r="E221" s="18"/>
      <c r="F221" s="108">
        <f>Input!E25</f>
        <v>0.885</v>
      </c>
      <c r="G221" s="21"/>
      <c r="H221" s="3" t="s">
        <v>220</v>
      </c>
      <c r="I221" s="3"/>
      <c r="J221" s="20"/>
    </row>
    <row r="222" spans="1:10" ht="15" customHeight="1">
      <c r="A222" s="14"/>
      <c r="B222" s="17"/>
      <c r="C222" s="17"/>
      <c r="D222" s="17"/>
      <c r="E222" s="17" t="s">
        <v>12</v>
      </c>
      <c r="F222" s="164">
        <f>F219</f>
        <v>0.7044600000000001</v>
      </c>
      <c r="G222" s="21"/>
      <c r="H222" s="3" t="str">
        <f>H219</f>
        <v>Diesel fuel value - portion of B20 blend</v>
      </c>
      <c r="I222" s="3"/>
      <c r="J222" s="20"/>
    </row>
    <row r="223" spans="1:10" ht="15" customHeight="1">
      <c r="A223" s="14"/>
      <c r="B223" s="17"/>
      <c r="C223" s="17"/>
      <c r="D223" s="17"/>
      <c r="E223" s="4" t="s">
        <v>8</v>
      </c>
      <c r="F223" s="89">
        <f>SUM(F221-F222)</f>
        <v>0.18053999999999992</v>
      </c>
      <c r="G223" s="21"/>
      <c r="H223" s="4" t="str">
        <f>"Biodiesel fuel value - portion of B"&amp;Input!E26&amp;" blend"</f>
        <v>Biodiesel fuel value - portion of B20 blend</v>
      </c>
      <c r="I223" s="3"/>
      <c r="J223" s="20"/>
    </row>
    <row r="224" spans="1:10" ht="15" customHeight="1">
      <c r="A224" s="14"/>
      <c r="B224" s="17"/>
      <c r="C224" s="17"/>
      <c r="D224" s="17"/>
      <c r="E224" s="17" t="s">
        <v>7</v>
      </c>
      <c r="F224" s="165">
        <f>SUM(1*(1-(Input!E27/100)))*(1*((Input!E26/100)))</f>
        <v>0.199</v>
      </c>
      <c r="G224" s="21"/>
      <c r="H224" s="3" t="str">
        <f>"Biodiesel fuel used - portion of B"&amp;Input!E26&amp;" blend"</f>
        <v>Biodiesel fuel used - portion of B20 blend</v>
      </c>
      <c r="I224" s="3"/>
      <c r="J224" s="20"/>
    </row>
    <row r="225" spans="1:10" ht="15" customHeight="1">
      <c r="A225" s="14"/>
      <c r="B225" s="17"/>
      <c r="C225" s="17"/>
      <c r="D225" s="17"/>
      <c r="E225" s="4" t="s">
        <v>8</v>
      </c>
      <c r="F225" s="89">
        <f>SUM(F223/F224)</f>
        <v>0.9072361809045222</v>
      </c>
      <c r="G225" s="21"/>
      <c r="H225" s="4" t="s">
        <v>223</v>
      </c>
      <c r="I225" s="3"/>
      <c r="J225" s="20"/>
    </row>
    <row r="226" spans="1:10" ht="15" customHeight="1">
      <c r="A226" s="14"/>
      <c r="B226" s="17"/>
      <c r="C226" s="17"/>
      <c r="D226" s="17"/>
      <c r="E226" s="17" t="s">
        <v>12</v>
      </c>
      <c r="F226" s="164">
        <f>Input!E25</f>
        <v>0.885</v>
      </c>
      <c r="G226" s="21"/>
      <c r="H226" s="3" t="s">
        <v>220</v>
      </c>
      <c r="I226" s="3"/>
      <c r="J226" s="20"/>
    </row>
    <row r="227" spans="1:10" ht="15" customHeight="1">
      <c r="A227" s="14"/>
      <c r="B227" s="17"/>
      <c r="C227" s="17"/>
      <c r="D227" s="17"/>
      <c r="E227" s="18" t="s">
        <v>8</v>
      </c>
      <c r="F227" s="108">
        <f>SUM(F225-F226)</f>
        <v>0.022236180904522174</v>
      </c>
      <c r="G227" s="21"/>
      <c r="H227" s="3" t="s">
        <v>224</v>
      </c>
      <c r="I227" s="3"/>
      <c r="J227" s="20"/>
    </row>
    <row r="228" spans="1:10" ht="15" customHeight="1">
      <c r="A228" s="14"/>
      <c r="B228" s="17"/>
      <c r="C228" s="18"/>
      <c r="E228" s="21" t="s">
        <v>6</v>
      </c>
      <c r="F228" s="160">
        <f>SUM(1000*Input!E13)</f>
        <v>15000</v>
      </c>
      <c r="G228" s="21"/>
      <c r="H228" s="22" t="s">
        <v>119</v>
      </c>
      <c r="I228" s="22"/>
      <c r="J228" s="20"/>
    </row>
    <row r="229" spans="1:10" ht="15" customHeight="1">
      <c r="A229" s="14"/>
      <c r="B229" s="17"/>
      <c r="C229" s="18"/>
      <c r="D229" s="18" t="s">
        <v>9</v>
      </c>
      <c r="E229" s="18" t="s">
        <v>8</v>
      </c>
      <c r="F229" s="11">
        <f>F228*F227</f>
        <v>333.5427135678326</v>
      </c>
      <c r="G229" s="107"/>
      <c r="H229" s="4" t="s">
        <v>222</v>
      </c>
      <c r="I229" s="4"/>
      <c r="J229" s="20"/>
    </row>
    <row r="230" spans="1:10" ht="15" customHeight="1">
      <c r="A230" s="14"/>
      <c r="B230" s="17"/>
      <c r="C230" s="18"/>
      <c r="D230" s="18"/>
      <c r="E230" s="18"/>
      <c r="F230" s="11"/>
      <c r="G230" s="107"/>
      <c r="H230" s="4"/>
      <c r="I230" s="4"/>
      <c r="J230" s="40"/>
    </row>
    <row r="231" spans="1:10" ht="15" customHeight="1">
      <c r="A231" s="14"/>
      <c r="C231" s="18" t="s">
        <v>219</v>
      </c>
      <c r="D231" s="17"/>
      <c r="E231" s="17"/>
      <c r="F231" s="17"/>
      <c r="G231" s="17"/>
      <c r="H231" s="17"/>
      <c r="I231" s="17"/>
      <c r="J231" s="17"/>
    </row>
    <row r="232" spans="1:10" ht="15" customHeight="1">
      <c r="A232" s="14"/>
      <c r="B232" s="17"/>
      <c r="C232" s="17"/>
      <c r="D232" s="17"/>
      <c r="E232" s="18"/>
      <c r="F232" s="96">
        <f>SUM((Input!E13*1000)*0.0935884)/1000</f>
        <v>1.403826</v>
      </c>
      <c r="G232" s="21"/>
      <c r="H232" s="21" t="s">
        <v>183</v>
      </c>
      <c r="I232" s="21"/>
      <c r="J232" s="20"/>
    </row>
    <row r="233" spans="1:10" ht="15" customHeight="1">
      <c r="A233" s="14"/>
      <c r="B233" s="17"/>
      <c r="C233" s="18"/>
      <c r="E233" s="21" t="s">
        <v>6</v>
      </c>
      <c r="F233" s="166">
        <f>Input!E24</f>
        <v>0</v>
      </c>
      <c r="G233" s="21"/>
      <c r="H233" s="22" t="s">
        <v>184</v>
      </c>
      <c r="I233" s="22"/>
      <c r="J233" s="20"/>
    </row>
    <row r="234" spans="1:10" ht="15" customHeight="1">
      <c r="A234" s="14"/>
      <c r="B234" s="17"/>
      <c r="C234" s="18"/>
      <c r="D234" s="18" t="s">
        <v>9</v>
      </c>
      <c r="E234" s="18" t="s">
        <v>8</v>
      </c>
      <c r="F234" s="11">
        <f>F233*F232</f>
        <v>0</v>
      </c>
      <c r="G234" s="107"/>
      <c r="H234" s="4" t="s">
        <v>185</v>
      </c>
      <c r="I234" s="4"/>
      <c r="J234" s="37"/>
    </row>
    <row r="235" spans="1:10" ht="15" customHeight="1">
      <c r="A235" s="14"/>
      <c r="B235" s="17"/>
      <c r="C235" s="17"/>
      <c r="D235" s="17"/>
      <c r="E235" s="18"/>
      <c r="F235" s="23"/>
      <c r="G235" s="18"/>
      <c r="H235" s="18"/>
      <c r="I235" s="18"/>
      <c r="J235" s="40"/>
    </row>
    <row r="236" spans="1:10" ht="15" customHeight="1">
      <c r="A236" s="14"/>
      <c r="B236" s="31" t="s">
        <v>56</v>
      </c>
      <c r="C236" s="31"/>
      <c r="D236" s="32"/>
      <c r="E236" s="32"/>
      <c r="F236" s="32"/>
      <c r="G236" s="32"/>
      <c r="H236" s="32"/>
      <c r="I236" s="33"/>
      <c r="J236" s="33"/>
    </row>
    <row r="237" spans="1:10" ht="15" customHeight="1">
      <c r="A237" s="14"/>
      <c r="B237" s="21"/>
      <c r="C237" s="21"/>
      <c r="D237" s="21"/>
      <c r="E237" s="21"/>
      <c r="F237" s="21"/>
      <c r="G237" s="21"/>
      <c r="H237" s="21"/>
      <c r="I237" s="21"/>
      <c r="J237" s="21"/>
    </row>
    <row r="238" spans="1:10" ht="15" customHeight="1">
      <c r="A238" s="14"/>
      <c r="B238" s="21" t="s">
        <v>22</v>
      </c>
      <c r="C238" s="21"/>
      <c r="D238" s="21"/>
      <c r="E238" s="21"/>
      <c r="F238" s="21"/>
      <c r="G238" s="21"/>
      <c r="H238" s="21"/>
      <c r="I238" s="21"/>
      <c r="J238" s="21"/>
    </row>
    <row r="239" spans="1:10" ht="15" customHeight="1">
      <c r="A239" s="14"/>
      <c r="B239" s="21"/>
      <c r="C239" s="21"/>
      <c r="D239" s="21"/>
      <c r="E239" s="21"/>
      <c r="F239" s="21"/>
      <c r="G239" s="21"/>
      <c r="H239" s="21"/>
      <c r="I239" s="21"/>
      <c r="J239" s="21"/>
    </row>
    <row r="240" spans="1:10" ht="15" customHeight="1">
      <c r="A240" s="14"/>
      <c r="B240" s="21" t="s">
        <v>187</v>
      </c>
      <c r="C240" s="21"/>
      <c r="D240" s="21"/>
      <c r="E240" s="21"/>
      <c r="G240" s="21"/>
      <c r="H240" s="21" t="s">
        <v>188</v>
      </c>
      <c r="I240" s="21"/>
      <c r="J240" s="21"/>
    </row>
    <row r="241" spans="1:10" ht="15" customHeight="1">
      <c r="A241" s="14"/>
      <c r="B241" s="21" t="s">
        <v>57</v>
      </c>
      <c r="C241" s="21"/>
      <c r="D241" s="21"/>
      <c r="E241" s="21"/>
      <c r="G241" s="21"/>
      <c r="H241" s="21" t="s">
        <v>57</v>
      </c>
      <c r="I241" s="21"/>
      <c r="J241" s="21"/>
    </row>
    <row r="242" spans="1:10" ht="15" customHeight="1">
      <c r="A242" s="14"/>
      <c r="B242" s="21" t="s">
        <v>190</v>
      </c>
      <c r="C242" s="21"/>
      <c r="D242" s="21"/>
      <c r="E242" s="21"/>
      <c r="F242" s="21"/>
      <c r="G242" s="21"/>
      <c r="H242" s="21" t="s">
        <v>213</v>
      </c>
      <c r="I242" s="21"/>
      <c r="J242" s="21"/>
    </row>
    <row r="243" spans="1:10" ht="15" customHeight="1">
      <c r="A243" s="14"/>
      <c r="B243" s="21"/>
      <c r="C243" s="21"/>
      <c r="D243" s="21"/>
      <c r="E243" s="21"/>
      <c r="F243" s="21"/>
      <c r="G243" s="21"/>
      <c r="H243" s="21"/>
      <c r="I243" s="21"/>
      <c r="J243" s="21"/>
    </row>
    <row r="244" spans="1:10" ht="15" customHeight="1">
      <c r="A244" s="14"/>
      <c r="B244" s="21" t="s">
        <v>189</v>
      </c>
      <c r="D244" s="14"/>
      <c r="E244" s="21"/>
      <c r="G244" s="21"/>
      <c r="H244" s="21" t="s">
        <v>270</v>
      </c>
      <c r="I244" s="21"/>
      <c r="J244" s="21"/>
    </row>
    <row r="245" spans="1:10" ht="15" customHeight="1">
      <c r="A245" s="14"/>
      <c r="B245" s="21" t="s">
        <v>57</v>
      </c>
      <c r="E245" s="17"/>
      <c r="G245" s="17"/>
      <c r="H245" s="109" t="s">
        <v>271</v>
      </c>
      <c r="I245" s="109"/>
      <c r="J245" s="17"/>
    </row>
    <row r="246" spans="1:10" ht="15" customHeight="1">
      <c r="A246" s="14"/>
      <c r="B246" s="109" t="s">
        <v>212</v>
      </c>
      <c r="C246" s="14"/>
      <c r="D246" s="14"/>
      <c r="E246" s="14"/>
      <c r="F246" s="14"/>
      <c r="G246" s="14"/>
      <c r="H246" s="109" t="s">
        <v>272</v>
      </c>
      <c r="I246" s="21"/>
      <c r="J246" s="14"/>
    </row>
    <row r="247" spans="1:10" ht="15" customHeight="1">
      <c r="A247" s="14"/>
      <c r="E247" s="14"/>
      <c r="G247" s="14"/>
      <c r="J247" s="14"/>
    </row>
    <row r="248" ht="15" customHeight="1">
      <c r="B248" s="17"/>
    </row>
    <row r="249" ht="15" customHeight="1">
      <c r="B249" s="21"/>
    </row>
    <row r="251" ht="15" customHeight="1">
      <c r="B251" s="26"/>
    </row>
    <row r="252" ht="15" customHeight="1">
      <c r="B252" s="26"/>
    </row>
  </sheetData>
  <sheetProtection password="C6A6" sheet="1" objects="1" scenarios="1"/>
  <mergeCells count="5">
    <mergeCell ref="B2:J2"/>
    <mergeCell ref="A11:J11"/>
    <mergeCell ref="B133:J133"/>
    <mergeCell ref="F169:I169"/>
    <mergeCell ref="F153:I153"/>
  </mergeCells>
  <printOptions/>
  <pageMargins left="0.5511811023622047" right="0.7480314960629921" top="0.7480314960629921" bottom="0.7480314960629921" header="0.5118110236220472" footer="0.5118110236220472"/>
  <pageSetup firstPageNumber="5" useFirstPageNumber="1" fitToHeight="5" horizontalDpi="600" verticalDpi="600" orientation="portrait" scale="80" r:id="rId1"/>
  <headerFooter alignWithMargins="0">
    <oddHeader>&amp;L&amp;9Guidelines: Biodiesel Production Costs&amp;R&amp;P</oddHeader>
    <oddFooter>&amp;R&amp;"Arial,Italic"&amp;9MAFRI, GO Team Branch</oddFooter>
  </headerFooter>
  <rowBreaks count="4" manualBreakCount="4">
    <brk id="57" max="255" man="1"/>
    <brk id="110" max="255" man="1"/>
    <brk id="132" max="255" man="1"/>
    <brk id="189" max="9" man="1"/>
  </rowBreaks>
  <ignoredErrors>
    <ignoredError sqref="F84" formula="1"/>
    <ignoredError sqref="H17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Manitoba Agriculture, Food and Rural Initiatives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Cost of Production</dc:subject>
  <dc:creator>MAFRI Staff - Roy Arnott</dc:creator>
  <cp:keywords>Biodiesel, Cost</cp:keywords>
  <dc:description>Contact:
Box 190
Killarney MB
roy.arnott@gov.mb.ca</dc:description>
  <cp:lastModifiedBy>JGessner</cp:lastModifiedBy>
  <cp:lastPrinted>2011-05-30T21:36:56Z</cp:lastPrinted>
  <dcterms:created xsi:type="dcterms:W3CDTF">1999-08-11T21:29:58Z</dcterms:created>
  <dcterms:modified xsi:type="dcterms:W3CDTF">2011-05-31T13:29:43Z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