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5476" windowWidth="8970" windowHeight="4575" tabRatio="780" activeTab="0"/>
  </bookViews>
  <sheets>
    <sheet name="Introduction" sheetId="1" r:id="rId1"/>
    <sheet name="Summary" sheetId="2" r:id="rId2"/>
    <sheet name="Assumptions" sheetId="3" r:id="rId3"/>
    <sheet name="Establishment" sheetId="4" r:id="rId4"/>
    <sheet name="Establishment Costs" sheetId="5" r:id="rId5"/>
    <sheet name="Production" sheetId="6" r:id="rId6"/>
    <sheet name="Production Costs" sheetId="7" r:id="rId7"/>
    <sheet name="Income Statement" sheetId="8" r:id="rId8"/>
    <sheet name="Cash Flow" sheetId="9" r:id="rId9"/>
  </sheets>
  <definedNames>
    <definedName name="\A">#REF!</definedName>
    <definedName name="\B">#REF!</definedName>
    <definedName name="\C">#REF!</definedName>
    <definedName name="\D">#REF!</definedName>
    <definedName name="\E">#REF!</definedName>
    <definedName name="\F">#REF!</definedName>
    <definedName name="\H">#REF!</definedName>
    <definedName name="\I">#REF!</definedName>
    <definedName name="\L">#REF!</definedName>
    <definedName name="\N">#REF!</definedName>
    <definedName name="\O">#REF!</definedName>
    <definedName name="\R">#REF!</definedName>
    <definedName name="\S">#REF!</definedName>
    <definedName name="\T">#REF!</definedName>
    <definedName name="\U">#REF!</definedName>
    <definedName name="\W">#REF!</definedName>
    <definedName name="\Y">#REF!</definedName>
    <definedName name="_xlnm.Print_Area" localSheetId="2">'Assumptions'!$A$1:$K$68</definedName>
    <definedName name="_xlnm.Print_Area" localSheetId="3">'Establishment'!$A$1:$G$81</definedName>
    <definedName name="_xlnm.Print_Area" localSheetId="4">'Establishment Costs'!$A$1:$I$161</definedName>
    <definedName name="_xlnm.Print_Area" localSheetId="7">'Income Statement'!$A$1:$Y$76</definedName>
    <definedName name="_xlnm.Print_Area" localSheetId="0">'Introduction'!$A$1:$H$41</definedName>
    <definedName name="_xlnm.Print_Area" localSheetId="5">'Production'!$A$1:$G$69</definedName>
    <definedName name="_xlnm.Print_Area" localSheetId="6">'Production Costs'!$A$1:$I$150</definedName>
    <definedName name="_xlnm.Print_Titles" localSheetId="4">'Establishment Costs'!$4:$4</definedName>
    <definedName name="_xlnm.Print_Titles" localSheetId="6">'Production Costs'!$3:$3</definedName>
    <definedName name="Z_6E930F6D_F725_11D2_92B5_0004ACD86FC2_.wvu.PrintArea" localSheetId="0" hidden="1">'Introduction'!$A$1:$B$21</definedName>
  </definedNames>
  <calcPr fullCalcOnLoad="1"/>
</workbook>
</file>

<file path=xl/comments6.xml><?xml version="1.0" encoding="utf-8"?>
<comments xmlns="http://schemas.openxmlformats.org/spreadsheetml/2006/main">
  <authors>
    <author>AMintenko</author>
  </authors>
  <commentList>
    <comment ref="C22" authorId="0">
      <text>
        <r>
          <rPr>
            <b/>
            <sz val="8"/>
            <rFont val="Tahoma"/>
            <family val="0"/>
          </rPr>
          <t>AMintenko:</t>
        </r>
        <r>
          <rPr>
            <sz val="8"/>
            <rFont val="Tahoma"/>
            <family val="0"/>
          </rPr>
          <t xml:space="preserve">
controls apple curculio, hawthorn weevil, lygus bugs, leaf miner, saskatoon bud moth, sawfly</t>
        </r>
      </text>
    </comment>
  </commentList>
</comments>
</file>

<file path=xl/sharedStrings.xml><?xml version="1.0" encoding="utf-8"?>
<sst xmlns="http://schemas.openxmlformats.org/spreadsheetml/2006/main" count="1063" uniqueCount="408">
  <si>
    <t xml:space="preserve"> </t>
  </si>
  <si>
    <t>lbs/acre</t>
  </si>
  <si>
    <t xml:space="preserve">1.02 Fertilizer </t>
  </si>
  <si>
    <t>Fertilizer</t>
  </si>
  <si>
    <t>Nitrogen</t>
  </si>
  <si>
    <t>Phosphate</t>
  </si>
  <si>
    <t>Potash</t>
  </si>
  <si>
    <t>Sulfur</t>
  </si>
  <si>
    <t>Times</t>
  </si>
  <si>
    <t>Width</t>
  </si>
  <si>
    <t>Speed</t>
  </si>
  <si>
    <t>Tractor</t>
  </si>
  <si>
    <t>Operation</t>
  </si>
  <si>
    <t>Over</t>
  </si>
  <si>
    <t>Feet</t>
  </si>
  <si>
    <t>MPH</t>
  </si>
  <si>
    <t>HP</t>
  </si>
  <si>
    <t>Cultivate</t>
  </si>
  <si>
    <t>Spray</t>
  </si>
  <si>
    <t>Useful</t>
  </si>
  <si>
    <t>Salvage</t>
  </si>
  <si>
    <t>Capital Costs</t>
  </si>
  <si>
    <t>Life</t>
  </si>
  <si>
    <t>Value</t>
  </si>
  <si>
    <t>Labour Costs ($/acre)</t>
  </si>
  <si>
    <t>Machinery Costs</t>
  </si>
  <si>
    <t>1.02 Fertilizer</t>
  </si>
  <si>
    <t>Subtotal Operating</t>
  </si>
  <si>
    <t>Total Operating Costs</t>
  </si>
  <si>
    <t>2.01 Machinery</t>
  </si>
  <si>
    <t>2.02 Storage</t>
  </si>
  <si>
    <t>3.01 Land</t>
  </si>
  <si>
    <t>3.02 Machinery</t>
  </si>
  <si>
    <t>A. Operating Costs</t>
  </si>
  <si>
    <t>x</t>
  </si>
  <si>
    <t>=</t>
  </si>
  <si>
    <t xml:space="preserve">     Nitrogen</t>
  </si>
  <si>
    <t xml:space="preserve">     Sulfur</t>
  </si>
  <si>
    <t>+</t>
  </si>
  <si>
    <t>TIME</t>
  </si>
  <si>
    <t>MAINT</t>
  </si>
  <si>
    <t>&amp; LUB</t>
  </si>
  <si>
    <t>÷</t>
  </si>
  <si>
    <t>-</t>
  </si>
  <si>
    <t>3.03 Storage</t>
  </si>
  <si>
    <t>feet</t>
  </si>
  <si>
    <t>mph</t>
  </si>
  <si>
    <t>Fuel</t>
  </si>
  <si>
    <t>$/ac.</t>
  </si>
  <si>
    <t>Rate per hour</t>
  </si>
  <si>
    <t>Prepared by:</t>
  </si>
  <si>
    <t>percentage rate</t>
  </si>
  <si>
    <t>investment/acre</t>
  </si>
  <si>
    <t>$/hour</t>
  </si>
  <si>
    <t>3. Investment</t>
  </si>
  <si>
    <t>2. Depreciation</t>
  </si>
  <si>
    <t>$ /acre</t>
  </si>
  <si>
    <t>average</t>
  </si>
  <si>
    <t>interest rate</t>
  </si>
  <si>
    <t>cost/acre</t>
  </si>
  <si>
    <t>salvage value</t>
  </si>
  <si>
    <t>useful life</t>
  </si>
  <si>
    <t>% investment rate</t>
  </si>
  <si>
    <t>Total Cost of Production</t>
  </si>
  <si>
    <t>Interest on Investment</t>
  </si>
  <si>
    <t>Your Cost</t>
  </si>
  <si>
    <t>Total</t>
  </si>
  <si>
    <t>Original Value - Salvage Value</t>
  </si>
  <si>
    <t>$/acre</t>
  </si>
  <si>
    <t>Year</t>
  </si>
  <si>
    <t>1.03 Herbicides</t>
  </si>
  <si>
    <t>lbs/acre cropping</t>
  </si>
  <si>
    <t>cost/lb cropping</t>
  </si>
  <si>
    <t>Market</t>
  </si>
  <si>
    <t>Storage Shed</t>
  </si>
  <si>
    <t>Cost $/lb</t>
  </si>
  <si>
    <t>Cost $/acre</t>
  </si>
  <si>
    <t>Annual</t>
  </si>
  <si>
    <t>Annual Cost</t>
  </si>
  <si>
    <r>
      <t>Original Value + Salvage Value</t>
    </r>
    <r>
      <rPr>
        <b/>
        <sz val="12"/>
        <rFont val="Arial"/>
        <family val="2"/>
      </rPr>
      <t xml:space="preserve">  x  Investment Rate</t>
    </r>
  </si>
  <si>
    <t xml:space="preserve">                                Useful Life</t>
  </si>
  <si>
    <t>acres</t>
  </si>
  <si>
    <t>per acre</t>
  </si>
  <si>
    <t>Applicator rental</t>
  </si>
  <si>
    <t>% rate of investment</t>
  </si>
  <si>
    <t>Allocated %</t>
  </si>
  <si>
    <r>
      <t xml:space="preserve">     P</t>
    </r>
    <r>
      <rPr>
        <b/>
        <vertAlign val="subscript"/>
        <sz val="12"/>
        <rFont val="Arial"/>
        <family val="2"/>
      </rPr>
      <t>2</t>
    </r>
    <r>
      <rPr>
        <b/>
        <sz val="12"/>
        <rFont val="Arial"/>
        <family val="2"/>
      </rPr>
      <t>O</t>
    </r>
    <r>
      <rPr>
        <b/>
        <vertAlign val="subscript"/>
        <sz val="12"/>
        <rFont val="Arial"/>
        <family val="2"/>
      </rPr>
      <t>5</t>
    </r>
  </si>
  <si>
    <r>
      <t xml:space="preserve">     K</t>
    </r>
    <r>
      <rPr>
        <b/>
        <vertAlign val="subscript"/>
        <sz val="12"/>
        <rFont val="Arial"/>
        <family val="2"/>
      </rPr>
      <t>2</t>
    </r>
    <r>
      <rPr>
        <b/>
        <sz val="12"/>
        <rFont val="Arial"/>
        <family val="2"/>
      </rPr>
      <t>O</t>
    </r>
  </si>
  <si>
    <t>Guidelines For Estimating</t>
  </si>
  <si>
    <t xml:space="preserve">plants/acre </t>
  </si>
  <si>
    <t>Field Operations</t>
  </si>
  <si>
    <t>Labour</t>
  </si>
  <si>
    <t>Herbicides</t>
  </si>
  <si>
    <t>Insecticides</t>
  </si>
  <si>
    <t>Fungicides</t>
  </si>
  <si>
    <t>Weed Control</t>
  </si>
  <si>
    <t>Irrigation Equipment</t>
  </si>
  <si>
    <t>Irrigation</t>
  </si>
  <si>
    <t>other</t>
  </si>
  <si>
    <t>Pre Plant</t>
  </si>
  <si>
    <t>Mowing</t>
  </si>
  <si>
    <t>Miscellaneous</t>
  </si>
  <si>
    <t>Interest  on Operating</t>
  </si>
  <si>
    <t>Land Value</t>
  </si>
  <si>
    <t>Land Cost</t>
  </si>
  <si>
    <t>Total Investment</t>
  </si>
  <si>
    <t>1.07 Irrigation Fuel Costs</t>
  </si>
  <si>
    <t>Inches applied</t>
  </si>
  <si>
    <t>Hourly pumping costs</t>
  </si>
  <si>
    <t>1.07 Irrigation Costs</t>
  </si>
  <si>
    <t>Estimated fuel cost per acre of picking year</t>
  </si>
  <si>
    <t>Fuel Price (Diesel $/litre)</t>
  </si>
  <si>
    <t>Capacity</t>
  </si>
  <si>
    <t>Ac/Hr</t>
  </si>
  <si>
    <t>Hr./Ac.</t>
  </si>
  <si>
    <t>Plants</t>
  </si>
  <si>
    <t>1.01 Seed &amp; Plants</t>
  </si>
  <si>
    <r>
      <t>Establishment</t>
    </r>
    <r>
      <rPr>
        <b/>
        <vertAlign val="superscript"/>
        <sz val="12"/>
        <rFont val="Arial"/>
        <family val="2"/>
      </rPr>
      <t>1</t>
    </r>
  </si>
  <si>
    <t>Planting</t>
  </si>
  <si>
    <t>-------------------$/acre--------------------</t>
  </si>
  <si>
    <t>Irrigation Fuel Costs</t>
  </si>
  <si>
    <t xml:space="preserve">   Total</t>
  </si>
  <si>
    <t>1.04 Insecticides</t>
  </si>
  <si>
    <t>1.05 Fungicides</t>
  </si>
  <si>
    <t>1.06 Field Fuel Costs</t>
  </si>
  <si>
    <t>1.08 Custom Costs</t>
  </si>
  <si>
    <t>1.09 Repair &amp; Maintenance</t>
  </si>
  <si>
    <t>spray 1</t>
  </si>
  <si>
    <t>spray 2</t>
  </si>
  <si>
    <t>spray 3</t>
  </si>
  <si>
    <t>Hours per acre for 1" of water</t>
  </si>
  <si>
    <t>inches of water applied</t>
  </si>
  <si>
    <t>rate/hour</t>
  </si>
  <si>
    <t>Plant</t>
  </si>
  <si>
    <t>Custom &amp; Rental Operations</t>
  </si>
  <si>
    <t>Repairs &amp; Maintenance</t>
  </si>
  <si>
    <t>1.09 Repairs and Maintanence</t>
  </si>
  <si>
    <t>Custom 1</t>
  </si>
  <si>
    <t>Custom 2</t>
  </si>
  <si>
    <t>total cost</t>
  </si>
  <si>
    <t>Machinery</t>
  </si>
  <si>
    <t xml:space="preserve">Other </t>
  </si>
  <si>
    <t>years</t>
  </si>
  <si>
    <t>1.05 Fungicide</t>
  </si>
  <si>
    <t>1.06 Fuel Costs</t>
  </si>
  <si>
    <t>Time</t>
  </si>
  <si>
    <t>Hr/Ac</t>
  </si>
  <si>
    <t>Maint.</t>
  </si>
  <si>
    <t>&amp; Lub.</t>
  </si>
  <si>
    <t>bales/acre</t>
  </si>
  <si>
    <t>$/bale</t>
  </si>
  <si>
    <t xml:space="preserve">    Inches applied</t>
  </si>
  <si>
    <t xml:space="preserve">    Hours per acre for 1' of water</t>
  </si>
  <si>
    <t xml:space="preserve">    Hourly pumping costs</t>
  </si>
  <si>
    <t>1.08 Custom &amp; Rental Operations</t>
  </si>
  <si>
    <t>hrs</t>
  </si>
  <si>
    <t>Utilities</t>
  </si>
  <si>
    <t>Number of acres in production</t>
  </si>
  <si>
    <t>Cultivator</t>
  </si>
  <si>
    <t>plants/ac</t>
  </si>
  <si>
    <t>Total Labour Hours</t>
  </si>
  <si>
    <t>Labour Rate per hour</t>
  </si>
  <si>
    <t>1.10 Miscellaneous</t>
  </si>
  <si>
    <t>1.11 Land Taxes</t>
  </si>
  <si>
    <t>1.12 Interest on Operating</t>
  </si>
  <si>
    <t>Other Costs</t>
  </si>
  <si>
    <t>Allocated $</t>
  </si>
  <si>
    <t xml:space="preserve">Average Investment per acre </t>
  </si>
  <si>
    <t>Total Field Operation Fuel Costs</t>
  </si>
  <si>
    <t>1.08 Custom Operations</t>
  </si>
  <si>
    <t>hrs/ac weed control</t>
  </si>
  <si>
    <t>hrs/ac irrigation</t>
  </si>
  <si>
    <t>hrs/ac field operations</t>
  </si>
  <si>
    <t>Hours/acre</t>
  </si>
  <si>
    <t>Cost/lb</t>
  </si>
  <si>
    <t>hours/acre for 1" of water</t>
  </si>
  <si>
    <t>subtotal operating</t>
  </si>
  <si>
    <t>3.03 Other Equipment</t>
  </si>
  <si>
    <t>2.02 Other Equipment</t>
  </si>
  <si>
    <t>$/ 1,000 plants</t>
  </si>
  <si>
    <t>Saskatoon</t>
  </si>
  <si>
    <t>Saskatoon Berry Cost of Production Worksheet</t>
  </si>
  <si>
    <t>Mech. Transplanter</t>
  </si>
  <si>
    <t>Quick Freeze Unit</t>
  </si>
  <si>
    <t>Holding Freezer</t>
  </si>
  <si>
    <t>Pruning Equipment</t>
  </si>
  <si>
    <t>Sorting Table &amp; Sizer</t>
  </si>
  <si>
    <t xml:space="preserve">see establish </t>
  </si>
  <si>
    <t>$/ plant</t>
  </si>
  <si>
    <r>
      <t>Disclaimer:</t>
    </r>
    <r>
      <rPr>
        <sz val="10"/>
        <rFont val="Arial"/>
        <family val="2"/>
      </rPr>
      <t xml:space="preserve"> This budget is only a guide and is not intended as an in depth study of the cost of production of the Manitoba Saskatoon Berry industry.</t>
    </r>
  </si>
  <si>
    <t>transplanter</t>
  </si>
  <si>
    <t>Harvester</t>
  </si>
  <si>
    <t xml:space="preserve">Field Operations: </t>
  </si>
  <si>
    <t xml:space="preserve">Pre Transplant </t>
  </si>
  <si>
    <t>Fall Transplanting</t>
  </si>
  <si>
    <t>Plastic Mulch</t>
  </si>
  <si>
    <t>Transplanting</t>
  </si>
  <si>
    <t>Plant replacement cost</t>
  </si>
  <si>
    <t>Custom</t>
  </si>
  <si>
    <t>Est 1</t>
  </si>
  <si>
    <t>Est 2</t>
  </si>
  <si>
    <t>Est 3</t>
  </si>
  <si>
    <t>Est 4</t>
  </si>
  <si>
    <t>Spot spray</t>
  </si>
  <si>
    <t xml:space="preserve"> $/roll</t>
  </si>
  <si>
    <t>Establish Year 1</t>
  </si>
  <si>
    <t>Establish Year 2</t>
  </si>
  <si>
    <t>Establish Year 3</t>
  </si>
  <si>
    <t>Establish Year 4</t>
  </si>
  <si>
    <t>times 4</t>
  </si>
  <si>
    <t>second year only</t>
  </si>
  <si>
    <t xml:space="preserve"> rolls/acre</t>
  </si>
  <si>
    <t>only in 1st year.</t>
  </si>
  <si>
    <t>hrs/ac mowing</t>
  </si>
  <si>
    <t>Pest control</t>
  </si>
  <si>
    <t>hrs/ac pest control</t>
  </si>
  <si>
    <t>Establish Years 1-4</t>
  </si>
  <si>
    <t>Transplanter</t>
  </si>
  <si>
    <t>Other</t>
  </si>
  <si>
    <t xml:space="preserve"> $/acre</t>
  </si>
  <si>
    <t>Plant replacement</t>
  </si>
  <si>
    <t>Mower</t>
  </si>
  <si>
    <t>Decis</t>
  </si>
  <si>
    <t>Harvesting</t>
  </si>
  <si>
    <t>none</t>
  </si>
  <si>
    <t>Pruning</t>
  </si>
  <si>
    <t>$ /acre Various Bugs</t>
  </si>
  <si>
    <t>Subtotal - Op. Costs &amp; Depreciation</t>
  </si>
  <si>
    <t>1. Operating Costs</t>
  </si>
  <si>
    <t xml:space="preserve">3. Investment </t>
  </si>
  <si>
    <t>Subtotal depreciation</t>
  </si>
  <si>
    <t>4. Labour</t>
  </si>
  <si>
    <t>Subtotal investment</t>
  </si>
  <si>
    <t>Subtotal - Op. Costs, Deprec. &amp; Invest.</t>
  </si>
  <si>
    <t>Total Misc. Cost</t>
  </si>
  <si>
    <t>Berry production (lb)</t>
  </si>
  <si>
    <t>Selling price/lb</t>
  </si>
  <si>
    <t>Berry sales revenue</t>
  </si>
  <si>
    <t>Year 1</t>
  </si>
  <si>
    <t>Year 2</t>
  </si>
  <si>
    <t>Year 3</t>
  </si>
  <si>
    <t>Year 4</t>
  </si>
  <si>
    <t>Year 5</t>
  </si>
  <si>
    <t>Year 6</t>
  </si>
  <si>
    <t>Year 7</t>
  </si>
  <si>
    <t>Year 8</t>
  </si>
  <si>
    <t>Year 9</t>
  </si>
  <si>
    <t>Year 10</t>
  </si>
  <si>
    <t>Year 11</t>
  </si>
  <si>
    <t>Year 12</t>
  </si>
  <si>
    <t>Year 13</t>
  </si>
  <si>
    <t>Year 14</t>
  </si>
  <si>
    <t>Year 15</t>
  </si>
  <si>
    <t>Estimated Revenue:</t>
  </si>
  <si>
    <t>Total establishment costs</t>
  </si>
  <si>
    <t>1. Estimated Operating Costs</t>
  </si>
  <si>
    <t xml:space="preserve">Establishment </t>
  </si>
  <si>
    <t>(years 1-4)</t>
  </si>
  <si>
    <t>Subtotal - costs of establishing orchard</t>
  </si>
  <si>
    <t>Subtotal - costs during productive years</t>
  </si>
  <si>
    <t>Tractor 40 hp</t>
  </si>
  <si>
    <t>Sprayer (used)</t>
  </si>
  <si>
    <t>Saskatoon plants</t>
  </si>
  <si>
    <t>1.01 Plant Costs</t>
  </si>
  <si>
    <t xml:space="preserve">1.01 Saskatoon Plants </t>
  </si>
  <si>
    <t xml:space="preserve">For more information contact your local Manitoba Agriculture, Food and Rural Initiatives office. </t>
  </si>
  <si>
    <t>Establishment Years</t>
  </si>
  <si>
    <t xml:space="preserve">    Pre Plant &amp; Estab. Yrs.</t>
  </si>
  <si>
    <t>using Roundup and cultivation</t>
  </si>
  <si>
    <t>Mulch application</t>
  </si>
  <si>
    <t>Non-selective herbicide</t>
  </si>
  <si>
    <t>hrs/ac harvesting</t>
  </si>
  <si>
    <t>hrs/ac pruning</t>
  </si>
  <si>
    <t>hrs/ac initial processing</t>
  </si>
  <si>
    <t>Initial processing</t>
  </si>
  <si>
    <t>Subtotal - Operating Costs, Depreciation &amp; Investment Costs</t>
  </si>
  <si>
    <t>Subtotal - Operating Costs &amp; Depreciation</t>
  </si>
  <si>
    <t>Cumulative costs</t>
  </si>
  <si>
    <t>Cumulative production (lbs)</t>
  </si>
  <si>
    <t>Costs/lb</t>
  </si>
  <si>
    <t>costs</t>
  </si>
  <si>
    <t>Years 1-4</t>
  </si>
  <si>
    <t>Production</t>
  </si>
  <si>
    <t>N/A</t>
  </si>
  <si>
    <t>&amp; Production</t>
  </si>
  <si>
    <t>Subtotal Annual</t>
  </si>
  <si>
    <t>Costs per Acre</t>
  </si>
  <si>
    <t>Amortized Over</t>
  </si>
  <si>
    <t>Incremental</t>
  </si>
  <si>
    <t>Saskatoon Berry Production Costs</t>
  </si>
  <si>
    <t>Orchard B</t>
  </si>
  <si>
    <t>Orchard C</t>
  </si>
  <si>
    <t>Orchard D</t>
  </si>
  <si>
    <t>planted</t>
  </si>
  <si>
    <t>1st year harvest</t>
  </si>
  <si>
    <t>2nd year harvest</t>
  </si>
  <si>
    <t>3rd year harvest</t>
  </si>
  <si>
    <t>4th year harvest</t>
  </si>
  <si>
    <t>5th year harvest</t>
  </si>
  <si>
    <t>6th year harvest</t>
  </si>
  <si>
    <t>7th year harvest</t>
  </si>
  <si>
    <t>8th year harvest</t>
  </si>
  <si>
    <t>9th year harvest</t>
  </si>
  <si>
    <t>10th year harvest</t>
  </si>
  <si>
    <t>11th year harvest</t>
  </si>
  <si>
    <t>hrs/ac mulching</t>
  </si>
  <si>
    <t>Mulch layer</t>
  </si>
  <si>
    <t xml:space="preserve">    Plant Cost</t>
  </si>
  <si>
    <t xml:space="preserve">    Planting rate plants/acre </t>
  </si>
  <si>
    <t>each spraying costs $15/acre using Decis</t>
  </si>
  <si>
    <t>Topa 250EC</t>
  </si>
  <si>
    <t>Kumulus DF</t>
  </si>
  <si>
    <t xml:space="preserve">880 plants at 3 ft apart=2640 ft of row per acre or 52800 ft of row in 20 acre. </t>
  </si>
  <si>
    <t>Need 2 litres of Decis for each spraying assuming 2 ml of Decis covering 1000 sq. ft of row and Decis costing $145.00 per litre.</t>
  </si>
  <si>
    <t>$ /acre Kumulus DF</t>
  </si>
  <si>
    <t>$ /acre Topas 250EC</t>
  </si>
  <si>
    <t>per spraying</t>
  </si>
  <si>
    <t>number of sprayings</t>
  </si>
  <si>
    <t>Topas costs $225 per 2 litres. Spray rate is 203ml/acre.</t>
  </si>
  <si>
    <t>Kumulus costs $130 per 25 kg. App. Rate is 3.03kg/acre.</t>
  </si>
  <si>
    <t>$ /acre (average)</t>
  </si>
  <si>
    <t>Plant and Seed Costs</t>
  </si>
  <si>
    <t>Sheep Fescue: Seeding rate is 45kg/ha. Seed cost is $2.75 per lb.</t>
  </si>
  <si>
    <t>Grass Seed</t>
  </si>
  <si>
    <t>$/lb</t>
  </si>
  <si>
    <t>Total Plant and Seed Cost</t>
  </si>
  <si>
    <t>lbs./acre</t>
  </si>
  <si>
    <t xml:space="preserve">   Seeding rate/acre</t>
  </si>
  <si>
    <t>$/lb.</t>
  </si>
  <si>
    <t xml:space="preserve">   Seed cost</t>
  </si>
  <si>
    <r>
      <t xml:space="preserve">1.01 Plant Costs and Grass Seed </t>
    </r>
    <r>
      <rPr>
        <vertAlign val="superscript"/>
        <sz val="12"/>
        <rFont val="Arial"/>
        <family val="2"/>
      </rPr>
      <t>1</t>
    </r>
  </si>
  <si>
    <t>$ /acre glyphosate</t>
  </si>
  <si>
    <r>
      <t>Orchard A</t>
    </r>
    <r>
      <rPr>
        <vertAlign val="superscript"/>
        <sz val="10"/>
        <rFont val="Arial"/>
        <family val="2"/>
      </rPr>
      <t>1</t>
    </r>
  </si>
  <si>
    <r>
      <t>Orchard B</t>
    </r>
    <r>
      <rPr>
        <vertAlign val="superscript"/>
        <sz val="10"/>
        <rFont val="Arial"/>
        <family val="2"/>
      </rPr>
      <t>1</t>
    </r>
  </si>
  <si>
    <r>
      <t>Orchard C</t>
    </r>
    <r>
      <rPr>
        <vertAlign val="superscript"/>
        <sz val="10"/>
        <rFont val="Arial"/>
        <family val="2"/>
      </rPr>
      <t>1</t>
    </r>
  </si>
  <si>
    <r>
      <t>Orchard D</t>
    </r>
    <r>
      <rPr>
        <vertAlign val="superscript"/>
        <sz val="10"/>
        <rFont val="Arial"/>
        <family val="2"/>
      </rPr>
      <t>1</t>
    </r>
  </si>
  <si>
    <t>Note 1: It is assumed that the 20 acre orchard is planted over 4 successive years. To accommodate this</t>
  </si>
  <si>
    <t>staggered planting schedule, the orchard is divided into 4 orchards (Orchard A, B, C, &amp; D) for our purposes.</t>
  </si>
  <si>
    <t xml:space="preserve">Orchard A </t>
  </si>
  <si>
    <t>Acres</t>
  </si>
  <si>
    <t>renovated-no prod'n</t>
  </si>
  <si>
    <t>2nd year establ.</t>
  </si>
  <si>
    <t>3rd year establ.</t>
  </si>
  <si>
    <t xml:space="preserve"> prod'n (lb)</t>
  </si>
  <si>
    <t>production per acre (lb)</t>
  </si>
  <si>
    <t>times during the establishment period</t>
  </si>
  <si>
    <t>no production</t>
  </si>
  <si>
    <t>Vivian - I've estimated that prod'n will recover quicker</t>
  </si>
  <si>
    <t>Year 16</t>
  </si>
  <si>
    <t>Year 17</t>
  </si>
  <si>
    <t>Year 18</t>
  </si>
  <si>
    <t>Year 19</t>
  </si>
  <si>
    <t>Year 20</t>
  </si>
  <si>
    <t>Establishment cost amortized over 20 years</t>
  </si>
  <si>
    <t>Operating cost during production years (years 5-20)</t>
  </si>
  <si>
    <t>Capital costs amortized over 20 years</t>
  </si>
  <si>
    <t>Land</t>
  </si>
  <si>
    <t xml:space="preserve">Production Equipment </t>
  </si>
  <si>
    <t>Total Capital Costs</t>
  </si>
  <si>
    <t>Orchard Establishment Costs</t>
  </si>
  <si>
    <t>Year 0</t>
  </si>
  <si>
    <t>Freezers &amp; Storage</t>
  </si>
  <si>
    <t>Land - 20 acres at $1,500/acre</t>
  </si>
  <si>
    <t>Yardsite - 5 acres @ $2,500</t>
  </si>
  <si>
    <t>Total production costs</t>
  </si>
  <si>
    <t>Annual production costs</t>
  </si>
  <si>
    <t>Yardsite Cost</t>
  </si>
  <si>
    <t>Land Taxes - orchard ($/acre)</t>
  </si>
  <si>
    <t>Land Taxes - yardsite ($/acre)</t>
  </si>
  <si>
    <t>Market Value - orchard ($/acre)</t>
  </si>
  <si>
    <t>Market Value - yardsite ($/acre)</t>
  </si>
  <si>
    <t>Years 1-20</t>
  </si>
  <si>
    <t>Years 5-20</t>
  </si>
  <si>
    <t>Subtotal - Cash Costs</t>
  </si>
  <si>
    <t>Revenue:</t>
  </si>
  <si>
    <t>Annual (Shortfall) or Surplus</t>
  </si>
  <si>
    <t>Cummulative (Shortfall) or Surplus</t>
  </si>
  <si>
    <t>Harvester &amp; Cleaning/Sorting Equipment</t>
  </si>
  <si>
    <t>Capital Costs:</t>
  </si>
  <si>
    <t>Saskatoon Berry Orchard - Estimated Annual Revenue &amp; Expense Statements</t>
  </si>
  <si>
    <t>Saskatoon Berry Orchard - Estimated Annual Cash Flow Statements</t>
  </si>
  <si>
    <t>Total Production (lb) - Years 4 to 20</t>
  </si>
  <si>
    <t>Average production per acre (lb) - years 4 to 20</t>
  </si>
  <si>
    <t>Saskatoon Berry Orchard Assumptions</t>
  </si>
  <si>
    <r>
      <t xml:space="preserve">Financing </t>
    </r>
    <r>
      <rPr>
        <sz val="10"/>
        <rFont val="Arial"/>
        <family val="2"/>
      </rPr>
      <t>(equity or debt) required</t>
    </r>
  </si>
  <si>
    <r>
      <t xml:space="preserve">Financing </t>
    </r>
    <r>
      <rPr>
        <sz val="10"/>
        <rFont val="Arial"/>
        <family val="2"/>
      </rPr>
      <t xml:space="preserve">(equity or debt) required </t>
    </r>
  </si>
  <si>
    <t>Estimated Establishment Costs</t>
  </si>
  <si>
    <t>Establishment Practices and Estimated Costs</t>
  </si>
  <si>
    <t>custom hired</t>
  </si>
  <si>
    <t>1.09 Repairs &amp; Maintenance</t>
  </si>
  <si>
    <t>Production Year Practices and Estimated Costs</t>
  </si>
  <si>
    <t>Production Year Estimated Costs</t>
  </si>
  <si>
    <t>Annual Net Income</t>
  </si>
  <si>
    <t>Cumulative Net Income</t>
  </si>
  <si>
    <t xml:space="preserve">If average production is 1494 lb. between year 4 and 15, then the average labour cost per year would be $896.40. </t>
  </si>
  <si>
    <t xml:space="preserve">Harvesting and initial processing (cleaning &amp; sorting) costs $0.60/lb in labour. </t>
  </si>
  <si>
    <t>Date:</t>
  </si>
  <si>
    <t>Anthony Mintenko</t>
  </si>
  <si>
    <t>Wendy Durand</t>
  </si>
  <si>
    <t>Business Development Specialist - Fruit Crops</t>
  </si>
  <si>
    <t xml:space="preserve">Business Development Specialist </t>
  </si>
  <si>
    <t>Roy Arnott</t>
  </si>
  <si>
    <t>November, 2012</t>
  </si>
  <si>
    <t xml:space="preserve">The estimated saskatoon berry production costs in this publication have been prepared to assist you in developing your own production cost budgets. </t>
  </si>
  <si>
    <t xml:space="preserve">The investment and cash input costs of growing saskatoon berries in Manitoba are substantial.  Detailed budgeting and good financial planning are essential ingredients for success. The capital investment to establish and operate a 20 acre orchard may total in the range of $66,000 to establish the orchard and an additional $200,000 to purchase land, equipment and storage facilties. The establishment costs are incurred in the first 4 years and production doesn't begin until year 5. Saskatoons do not reach peak yield levels until 6-8 years after transplanting. However, a properly maintained orchard should maintain uniform yields for 20-30 years.
Commercial saskatoon production in Manitoba has been an important part of diversification in the province. Currently there are approximately 160 saskatoon growers in Manitoba whose orchards vary in size from 1 acre to 20 acres. The majority of the saskatoon orchards are harvested by hand for U-Pick sales and pre-picked direct farm sales; but mechanical harvesting for sales into processing has increased over the past few years.
</t>
  </si>
  <si>
    <t>Growers entering the industry need these basic requirements: (1) suitable land with adequate drainage and shelterbelts, (2) access to an adequate quantity and quality of water for irrigation, (3) financial resources that permit a significant level of investment on infrastructure and input costs, (4) the ability to apply management skills to the crop in a precisely timed manner, (5) the ability to determine market potential, and (6) the willingness to accept risk.</t>
  </si>
  <si>
    <r>
      <t>It is advised that new growers assess their potental  customer base and marketing opportunities prior to establishing a saskatoon orchard and that they should start small and expand their orchards over several years.</t>
    </r>
    <r>
      <rPr>
        <sz val="12"/>
        <color indexed="8"/>
        <rFont val="Arial"/>
        <family val="2"/>
      </rPr>
      <t xml:space="preserve"> </t>
    </r>
  </si>
  <si>
    <r>
      <t>Disclaimer</t>
    </r>
    <r>
      <rPr>
        <sz val="11"/>
        <color indexed="8"/>
        <rFont val="Arial"/>
        <family val="2"/>
      </rPr>
      <t>: This budget is only a guide and is not intended as an in depth study of the cost of production of this industry.  Interpretation and utilization of this information is the responsibility of the user. If you require assistance with developing your individual budget, please contact your local Manitoba Agriculture Food and Rural Initiatives office.</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</si>
</sst>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
    <numFmt numFmtId="174" formatCode="&quot;$&quot;#,##0.0000\ ;\(&quot;$&quot;#,##0.0000\)"/>
    <numFmt numFmtId="175" formatCode="#,##0.0"/>
    <numFmt numFmtId="176" formatCode="&quot;$&quot;#,##0.0000"/>
    <numFmt numFmtId="177" formatCode="&quot;$&quot;#,##0.00"/>
    <numFmt numFmtId="178" formatCode="yyyy"/>
    <numFmt numFmtId="179" formatCode="0.0"/>
    <numFmt numFmtId="180" formatCode="&quot;$&quot;#,##0.0\ ;\(&quot;$&quot;#,##0.0\)"/>
    <numFmt numFmtId="181" formatCode="#,##0.000"/>
    <numFmt numFmtId="182" formatCode=";;;"/>
    <numFmt numFmtId="183" formatCode="0.000"/>
    <numFmt numFmtId="184" formatCode="&quot;$&quot;#,##0.0_);\(&quot;$&quot;#,##0.0\)"/>
    <numFmt numFmtId="185" formatCode="#,##0.0_);\(#,##0.0\)"/>
    <numFmt numFmtId="186" formatCode="0.0000000"/>
    <numFmt numFmtId="187" formatCode="0.000000"/>
    <numFmt numFmtId="188" formatCode="0.00000"/>
    <numFmt numFmtId="189" formatCode="&quot;$&quot;#,##0"/>
    <numFmt numFmtId="190" formatCode="0.00000000"/>
    <numFmt numFmtId="191" formatCode="&quot;$&quot;#,##0.0"/>
    <numFmt numFmtId="192" formatCode="#,##0.000000000"/>
    <numFmt numFmtId="193" formatCode="0.0%"/>
    <numFmt numFmtId="194" formatCode="&quot;$&quot;#,##0.000_);\(&quot;$&quot;#,##0.000\)"/>
    <numFmt numFmtId="195" formatCode="&quot;$&quot;#,##0.0000_);\(&quot;$&quot;#,##0.0000\)"/>
    <numFmt numFmtId="196" formatCode="&quot;$&quot;#,##0.000"/>
    <numFmt numFmtId="197" formatCode="m/d/yy\ h:mm\ AM/PM"/>
    <numFmt numFmtId="198" formatCode="&quot;$&quot;#,##0.00_);[Red]&quot;$&quot;#,##0.00"/>
    <numFmt numFmtId="199" formatCode="\-\ \+\ &quot;$&quot;#,##0.00_);[Red]&quot;$&quot;#,##0.00"/>
    <numFmt numFmtId="200" formatCode="\-&quot;$&quot;#,##0.00_);[Red]&quot;$&quot;#,##0.00"/>
    <numFmt numFmtId="201" formatCode="#,##0.00_);[Red]&quot;$&quot;#,##0.00\ * \-\1"/>
    <numFmt numFmtId="202" formatCode="#,##0.00_);[Red]&quot;$&quot;#,##0.00,\-\ "/>
    <numFmt numFmtId="203" formatCode="\-\,#,##0.00_);[Red]&quot;$&quot;#,##0.00,"/>
    <numFmt numFmtId="204" formatCode="\-\,#,##0.00_);[Red]&quot;$&quot;#,##0.00"/>
    <numFmt numFmtId="205" formatCode="#,##0.00_);[Red]\1&quot;$&quot;#,##0.00"/>
    <numFmt numFmtId="206" formatCode="#,##0.00_);[Red]\-&quot;$&quot;#,##0.00"/>
    <numFmt numFmtId="207" formatCode="#,##0.00__;[Red]\-&quot;$&quot;#,##0.00"/>
    <numFmt numFmtId="208" formatCode="#,##0.00_);[Red]\-\ &quot;$&quot;#,##0.00"/>
    <numFmt numFmtId="209" formatCode="&quot;$&quot;#,##0.00_);[Red]\-&quot;$&quot;#,##0.00"/>
    <numFmt numFmtId="210" formatCode="m/d"/>
    <numFmt numFmtId="211" formatCode="mmmm\ d\,\ yyyy"/>
    <numFmt numFmtId="212" formatCode="#,##0.0000;[Red]\-#,##0.0000"/>
    <numFmt numFmtId="213" formatCode="&quot;$&quot;#,##0.0000;[Red]\-&quot;$&quot;#,##0.0000"/>
    <numFmt numFmtId="214" formatCode="&quot;$&quot;#,##0.0000_);[Red]\-&quot;$&quot;#,##0.0000"/>
    <numFmt numFmtId="215" formatCode="&quot;$&quot;#,##0.000;\-&quot;$&quot;#,##0.000"/>
    <numFmt numFmtId="216" formatCode="#,##0_ ;\-#,##0\ "/>
    <numFmt numFmtId="217" formatCode="#,##0.0_ ;\-#,##0.0\ "/>
    <numFmt numFmtId="218" formatCode="#,##0.00_ ;\-#,##0.00\ "/>
    <numFmt numFmtId="219" formatCode="&quot;$&quot;#,##0.0000;\-&quot;$&quot;#,##0.0000"/>
    <numFmt numFmtId="220" formatCode="&quot;$&quot;#,##0.0;\-&quot;$&quot;#,##0.0"/>
    <numFmt numFmtId="221" formatCode="&quot;$&quot;#,##0.00000"/>
    <numFmt numFmtId="222" formatCode="&quot;Yes&quot;;&quot;Yes&quot;;&quot;No&quot;"/>
    <numFmt numFmtId="223" formatCode="&quot;True&quot;;&quot;True&quot;;&quot;False&quot;"/>
    <numFmt numFmtId="224" formatCode="&quot;On&quot;;&quot;On&quot;;&quot;Off&quot;"/>
    <numFmt numFmtId="225" formatCode="[$€-2]\ #,##0.00_);[Red]\([$€-2]\ #,##0.00\)"/>
  </numFmts>
  <fonts count="83">
    <font>
      <sz val="12"/>
      <name val="Arial"/>
      <family val="0"/>
    </font>
    <font>
      <b/>
      <sz val="12"/>
      <name val="Arial"/>
      <family val="0"/>
    </font>
    <font>
      <b/>
      <u val="single"/>
      <sz val="12"/>
      <name val="Arial"/>
      <family val="0"/>
    </font>
    <font>
      <u val="single"/>
      <sz val="12"/>
      <name val="Arial"/>
      <family val="0"/>
    </font>
    <font>
      <sz val="14"/>
      <name val="Arial"/>
      <family val="2"/>
    </font>
    <font>
      <sz val="12"/>
      <name val="Lucida Sans Unicode"/>
      <family val="2"/>
    </font>
    <font>
      <b/>
      <sz val="14"/>
      <color indexed="18"/>
      <name val="Arial"/>
      <family val="2"/>
    </font>
    <font>
      <b/>
      <sz val="12"/>
      <color indexed="12"/>
      <name val="Arial"/>
      <family val="2"/>
    </font>
    <font>
      <b/>
      <vertAlign val="subscript"/>
      <sz val="12"/>
      <name val="Arial"/>
      <family val="2"/>
    </font>
    <font>
      <sz val="8"/>
      <name val="Tahoma"/>
      <family val="0"/>
    </font>
    <font>
      <b/>
      <vertAlign val="superscript"/>
      <sz val="12"/>
      <name val="Arial"/>
      <family val="2"/>
    </font>
    <font>
      <b/>
      <sz val="8"/>
      <name val="Tahoma"/>
      <family val="0"/>
    </font>
    <font>
      <sz val="10"/>
      <name val="Arial"/>
      <family val="2"/>
    </font>
    <font>
      <b/>
      <sz val="10"/>
      <name val="Arial"/>
      <family val="2"/>
    </font>
    <font>
      <sz val="8"/>
      <name val="Arial"/>
      <family val="0"/>
    </font>
    <font>
      <vertAlign val="superscript"/>
      <sz val="12"/>
      <name val="Arial"/>
      <family val="2"/>
    </font>
    <font>
      <b/>
      <sz val="12"/>
      <name val="Lucida Sans Unicode"/>
      <family val="2"/>
    </font>
    <font>
      <sz val="18"/>
      <name val="Arial"/>
      <family val="0"/>
    </font>
    <font>
      <sz val="12"/>
      <color indexed="10"/>
      <name val="Arial"/>
      <family val="0"/>
    </font>
    <font>
      <u val="single"/>
      <sz val="10"/>
      <name val="Arial"/>
      <family val="0"/>
    </font>
    <font>
      <sz val="10"/>
      <name val="Lucida Sans Unicode"/>
      <family val="2"/>
    </font>
    <font>
      <b/>
      <sz val="10"/>
      <name val="Lucida Sans Unicode"/>
      <family val="2"/>
    </font>
    <font>
      <sz val="12"/>
      <color indexed="10"/>
      <name val="Lucida Sans Unicode"/>
      <family val="2"/>
    </font>
    <font>
      <b/>
      <u val="single"/>
      <sz val="10"/>
      <name val="Arial"/>
      <family val="0"/>
    </font>
    <font>
      <b/>
      <sz val="10"/>
      <color indexed="12"/>
      <name val="Arial"/>
      <family val="0"/>
    </font>
    <font>
      <sz val="10"/>
      <color indexed="10"/>
      <name val="Arial"/>
      <family val="0"/>
    </font>
    <font>
      <vertAlign val="superscript"/>
      <sz val="10"/>
      <name val="Arial"/>
      <family val="2"/>
    </font>
    <font>
      <b/>
      <sz val="10"/>
      <color indexed="8"/>
      <name val="Arial"/>
      <family val="0"/>
    </font>
    <font>
      <sz val="10"/>
      <color indexed="8"/>
      <name val="Arial"/>
      <family val="0"/>
    </font>
    <font>
      <sz val="12"/>
      <color indexed="8"/>
      <name val="Arial"/>
      <family val="0"/>
    </font>
    <font>
      <b/>
      <u val="single"/>
      <sz val="10"/>
      <color indexed="8"/>
      <name val="Arial"/>
      <family val="0"/>
    </font>
    <font>
      <b/>
      <u val="single"/>
      <sz val="12"/>
      <color indexed="8"/>
      <name val="Arial"/>
      <family val="0"/>
    </font>
    <font>
      <b/>
      <sz val="12"/>
      <color indexed="8"/>
      <name val="Arial"/>
      <family val="0"/>
    </font>
    <font>
      <sz val="24"/>
      <color indexed="18"/>
      <name val="Arial"/>
      <family val="2"/>
    </font>
    <font>
      <sz val="12"/>
      <color indexed="18"/>
      <name val="Arial"/>
      <family val="2"/>
    </font>
    <font>
      <b/>
      <sz val="11"/>
      <name val="Arial"/>
      <family val="2"/>
    </font>
    <font>
      <sz val="11"/>
      <color indexed="8"/>
      <name val="Arial"/>
      <family val="2"/>
    </font>
    <font>
      <sz val="16"/>
      <color indexed="18"/>
      <name val="Arial"/>
      <family val="2"/>
    </font>
    <font>
      <sz val="20"/>
      <color indexed="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0"/>
      <color indexed="12"/>
      <name val="Arial"/>
      <family val="2"/>
    </font>
    <font>
      <b/>
      <u val="single"/>
      <sz val="12"/>
      <color indexed="12"/>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12"/>
      <color rgb="FF000000"/>
      <name val="Arial"/>
      <family val="2"/>
    </font>
    <font>
      <b/>
      <sz val="10"/>
      <color rgb="FF0000FF"/>
      <name val="Arial"/>
      <family val="2"/>
    </font>
    <font>
      <b/>
      <u val="single"/>
      <sz val="10"/>
      <color rgb="FF0000FF"/>
      <name val="Arial"/>
      <family val="2"/>
    </font>
    <font>
      <b/>
      <sz val="12"/>
      <color rgb="FF0000FF"/>
      <name val="Arial"/>
      <family val="2"/>
    </font>
    <font>
      <b/>
      <u val="single"/>
      <sz val="12"/>
      <color rgb="FF0000FF"/>
      <name val="Arial"/>
      <family val="2"/>
    </font>
    <font>
      <b/>
      <sz val="11"/>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5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66" fontId="0" fillId="0" borderId="0">
      <alignment horizontal="right" vertical="justify"/>
      <protection/>
    </xf>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177" fontId="0" fillId="0" borderId="0">
      <alignment vertical="top"/>
      <protection/>
    </xf>
    <xf numFmtId="0" fontId="0" fillId="32" borderId="7" applyNumberFormat="0" applyFont="0" applyAlignment="0" applyProtection="0"/>
    <xf numFmtId="0" fontId="71" fillId="27" borderId="8" applyNumberFormat="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27">
    <xf numFmtId="0" fontId="0" fillId="0" borderId="0" xfId="0" applyAlignment="1">
      <alignment/>
    </xf>
    <xf numFmtId="0" fontId="5" fillId="0" borderId="0" xfId="0" applyFont="1" applyAlignment="1">
      <alignment/>
    </xf>
    <xf numFmtId="0" fontId="0" fillId="0" borderId="0" xfId="0" applyFont="1" applyAlignment="1">
      <alignment/>
    </xf>
    <xf numFmtId="7" fontId="7" fillId="0" borderId="0" xfId="0" applyNumberFormat="1" applyFont="1" applyAlignment="1" applyProtection="1">
      <alignment/>
      <protection locked="0"/>
    </xf>
    <xf numFmtId="0" fontId="7" fillId="0" borderId="0" xfId="0" applyFont="1" applyAlignment="1" applyProtection="1">
      <alignment/>
      <protection locked="0"/>
    </xf>
    <xf numFmtId="0" fontId="0" fillId="0" borderId="0" xfId="0"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right"/>
      <protection/>
    </xf>
    <xf numFmtId="177" fontId="0" fillId="0" borderId="0" xfId="52">
      <alignment vertical="top"/>
      <protection/>
    </xf>
    <xf numFmtId="177" fontId="0" fillId="0" borderId="0" xfId="52" applyFont="1">
      <alignment vertical="top"/>
      <protection/>
    </xf>
    <xf numFmtId="0" fontId="0" fillId="0" borderId="0" xfId="0" applyFont="1" applyAlignment="1" applyProtection="1">
      <alignment/>
      <protection/>
    </xf>
    <xf numFmtId="0" fontId="0" fillId="0" borderId="0" xfId="0" applyFont="1" applyFill="1" applyAlignment="1" applyProtection="1">
      <alignment/>
      <protection/>
    </xf>
    <xf numFmtId="0" fontId="5" fillId="0" borderId="0" xfId="0" applyFont="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177" fontId="0" fillId="0" borderId="0" xfId="0" applyNumberFormat="1" applyFont="1" applyAlignment="1" applyProtection="1">
      <alignment/>
      <protection/>
    </xf>
    <xf numFmtId="177" fontId="3" fillId="0" borderId="0" xfId="0" applyNumberFormat="1" applyFont="1" applyAlignment="1" applyProtection="1">
      <alignment/>
      <protection/>
    </xf>
    <xf numFmtId="177" fontId="1" fillId="0" borderId="0" xfId="0" applyNumberFormat="1" applyFont="1" applyAlignment="1" applyProtection="1">
      <alignment/>
      <protection/>
    </xf>
    <xf numFmtId="0" fontId="1" fillId="0" borderId="0" xfId="0" applyFont="1" applyAlignment="1">
      <alignment/>
    </xf>
    <xf numFmtId="0" fontId="7" fillId="0" borderId="0" xfId="0" applyFont="1" applyAlignment="1" applyProtection="1">
      <alignment/>
      <protection/>
    </xf>
    <xf numFmtId="0" fontId="1" fillId="0" borderId="0" xfId="0" applyFont="1" applyAlignment="1">
      <alignment horizontal="right"/>
    </xf>
    <xf numFmtId="0" fontId="2" fillId="0" borderId="0" xfId="0" applyFont="1" applyAlignment="1">
      <alignment horizontal="right"/>
    </xf>
    <xf numFmtId="177" fontId="0" fillId="0" borderId="0" xfId="0" applyNumberFormat="1" applyFont="1" applyAlignment="1">
      <alignment/>
    </xf>
    <xf numFmtId="177" fontId="3" fillId="0" borderId="0" xfId="0" applyNumberFormat="1" applyFont="1" applyAlignment="1">
      <alignment/>
    </xf>
    <xf numFmtId="0" fontId="1" fillId="0" borderId="0" xfId="0" applyFont="1" applyAlignment="1" applyProtection="1">
      <alignment horizontal="center"/>
      <protection/>
    </xf>
    <xf numFmtId="177" fontId="1" fillId="0" borderId="0" xfId="0" applyNumberFormat="1" applyFont="1" applyAlignment="1">
      <alignment/>
    </xf>
    <xf numFmtId="0" fontId="2" fillId="0" borderId="0" xfId="0" applyNumberFormat="1" applyFont="1" applyAlignment="1" applyProtection="1">
      <alignment horizontal="center"/>
      <protection/>
    </xf>
    <xf numFmtId="177" fontId="1" fillId="0" borderId="0" xfId="42" applyNumberFormat="1" applyFont="1">
      <alignment horizontal="right" vertical="justify"/>
      <protection/>
    </xf>
    <xf numFmtId="0" fontId="3" fillId="0" borderId="0" xfId="0" applyFont="1" applyAlignment="1" applyProtection="1">
      <alignment/>
      <protection/>
    </xf>
    <xf numFmtId="7" fontId="0" fillId="0" borderId="0" xfId="0" applyNumberFormat="1" applyFont="1" applyAlignment="1">
      <alignment/>
    </xf>
    <xf numFmtId="0" fontId="2"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0" fillId="0" borderId="0" xfId="0" applyAlignment="1">
      <alignment vertical="top"/>
    </xf>
    <xf numFmtId="177" fontId="0" fillId="0" borderId="0" xfId="52" applyBorder="1" applyAlignment="1">
      <alignment vertical="top"/>
      <protection/>
    </xf>
    <xf numFmtId="0" fontId="0" fillId="0" borderId="0" xfId="0" applyFont="1" applyBorder="1" applyAlignment="1" applyProtection="1">
      <alignment/>
      <protection/>
    </xf>
    <xf numFmtId="177" fontId="0" fillId="0" borderId="0" xfId="0" applyNumberFormat="1" applyFont="1" applyBorder="1" applyAlignment="1" applyProtection="1">
      <alignment/>
      <protection/>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7" fontId="0" fillId="0" borderId="0" xfId="0" applyNumberFormat="1" applyFont="1" applyBorder="1" applyAlignment="1">
      <alignment/>
    </xf>
    <xf numFmtId="177" fontId="0" fillId="0" borderId="0" xfId="0" applyNumberFormat="1" applyFont="1" applyBorder="1" applyAlignment="1">
      <alignment/>
    </xf>
    <xf numFmtId="177" fontId="3" fillId="0" borderId="0" xfId="0" applyNumberFormat="1" applyFont="1" applyBorder="1" applyAlignment="1">
      <alignment/>
    </xf>
    <xf numFmtId="177" fontId="1" fillId="0" borderId="0" xfId="0" applyNumberFormat="1" applyFont="1" applyBorder="1" applyAlignment="1">
      <alignment/>
    </xf>
    <xf numFmtId="0" fontId="0" fillId="0" borderId="0" xfId="0" applyFont="1" applyBorder="1" applyAlignment="1">
      <alignment/>
    </xf>
    <xf numFmtId="177" fontId="3" fillId="0" borderId="0" xfId="0" applyNumberFormat="1" applyFont="1" applyBorder="1" applyAlignment="1" applyProtection="1">
      <alignment/>
      <protection/>
    </xf>
    <xf numFmtId="0" fontId="2" fillId="0" borderId="0" xfId="0" applyFont="1" applyAlignment="1" applyProtection="1">
      <alignment horizontal="center"/>
      <protection/>
    </xf>
    <xf numFmtId="0" fontId="2" fillId="0" borderId="0" xfId="0" applyFont="1" applyAlignment="1">
      <alignment/>
    </xf>
    <xf numFmtId="0" fontId="0" fillId="0" borderId="0" xfId="0" applyFont="1" applyAlignment="1">
      <alignment horizontal="center"/>
    </xf>
    <xf numFmtId="0" fontId="1" fillId="0" borderId="0" xfId="0" applyFont="1" applyAlignment="1">
      <alignment horizontal="center"/>
    </xf>
    <xf numFmtId="0" fontId="0" fillId="0" borderId="10" xfId="0" applyFont="1" applyBorder="1" applyAlignment="1">
      <alignment/>
    </xf>
    <xf numFmtId="0" fontId="0" fillId="0" borderId="11" xfId="0" applyFont="1" applyBorder="1" applyAlignment="1">
      <alignment/>
    </xf>
    <xf numFmtId="7" fontId="1" fillId="0" borderId="0" xfId="0" applyNumberFormat="1" applyFont="1" applyAlignment="1">
      <alignment/>
    </xf>
    <xf numFmtId="3" fontId="0" fillId="0" borderId="0" xfId="0" applyNumberFormat="1" applyFont="1" applyAlignment="1">
      <alignment/>
    </xf>
    <xf numFmtId="216" fontId="0" fillId="0" borderId="0" xfId="0" applyNumberFormat="1" applyFont="1" applyAlignment="1">
      <alignment/>
    </xf>
    <xf numFmtId="7" fontId="3" fillId="0" borderId="0" xfId="0" applyNumberFormat="1" applyFont="1" applyAlignment="1">
      <alignment/>
    </xf>
    <xf numFmtId="215" fontId="3" fillId="0" borderId="0" xfId="0" applyNumberFormat="1" applyFont="1" applyAlignment="1">
      <alignment/>
    </xf>
    <xf numFmtId="7" fontId="1" fillId="0" borderId="0" xfId="0" applyNumberFormat="1" applyFont="1" applyAlignment="1">
      <alignment horizontal="center"/>
    </xf>
    <xf numFmtId="0" fontId="0" fillId="0" borderId="0" xfId="0" applyFont="1" applyAlignment="1">
      <alignment horizontal="right"/>
    </xf>
    <xf numFmtId="2" fontId="0" fillId="0" borderId="0" xfId="0" applyNumberFormat="1" applyFont="1" applyAlignment="1">
      <alignment/>
    </xf>
    <xf numFmtId="173" fontId="0" fillId="0" borderId="0" xfId="0" applyNumberFormat="1" applyFont="1" applyAlignment="1">
      <alignment/>
    </xf>
    <xf numFmtId="193" fontId="0" fillId="0" borderId="0" xfId="0" applyNumberFormat="1" applyFont="1" applyAlignment="1">
      <alignment/>
    </xf>
    <xf numFmtId="7" fontId="0" fillId="0" borderId="0" xfId="0" applyNumberFormat="1" applyFont="1" applyAlignment="1">
      <alignment horizontal="center"/>
    </xf>
    <xf numFmtId="3" fontId="3" fillId="0" borderId="0" xfId="0" applyNumberFormat="1" applyFont="1" applyAlignment="1">
      <alignment/>
    </xf>
    <xf numFmtId="193" fontId="3" fillId="0" borderId="0" xfId="0" applyNumberFormat="1" applyFont="1" applyAlignment="1">
      <alignment/>
    </xf>
    <xf numFmtId="3" fontId="7" fillId="0" borderId="0" xfId="0" applyNumberFormat="1" applyFont="1" applyAlignment="1" applyProtection="1">
      <alignment/>
      <protection/>
    </xf>
    <xf numFmtId="7" fontId="3" fillId="0" borderId="0" xfId="0" applyNumberFormat="1" applyFont="1" applyAlignment="1">
      <alignment horizontal="center"/>
    </xf>
    <xf numFmtId="177" fontId="0" fillId="0" borderId="0" xfId="0" applyNumberFormat="1" applyFont="1" applyAlignment="1">
      <alignment horizontal="center"/>
    </xf>
    <xf numFmtId="177" fontId="1" fillId="0" borderId="0" xfId="0" applyNumberFormat="1" applyFont="1" applyAlignment="1">
      <alignment horizontal="center"/>
    </xf>
    <xf numFmtId="177" fontId="1" fillId="0" borderId="0" xfId="52" applyFont="1" applyAlignment="1">
      <alignment horizontal="right" vertical="top"/>
      <protection/>
    </xf>
    <xf numFmtId="216" fontId="3" fillId="0" borderId="0" xfId="0" applyNumberFormat="1" applyFont="1" applyAlignment="1">
      <alignment/>
    </xf>
    <xf numFmtId="0" fontId="0" fillId="0" borderId="0" xfId="0" applyAlignment="1">
      <alignment horizontal="center"/>
    </xf>
    <xf numFmtId="3" fontId="0" fillId="0" borderId="0" xfId="0" applyNumberFormat="1" applyFont="1" applyAlignment="1">
      <alignment horizontal="center"/>
    </xf>
    <xf numFmtId="3" fontId="3" fillId="0" borderId="0" xfId="0" applyNumberFormat="1" applyFont="1" applyAlignment="1">
      <alignment horizontal="center"/>
    </xf>
    <xf numFmtId="0" fontId="0" fillId="0" borderId="10" xfId="0" applyBorder="1" applyAlignment="1">
      <alignment/>
    </xf>
    <xf numFmtId="0" fontId="1" fillId="0" borderId="0" xfId="0" applyFont="1" applyAlignment="1">
      <alignment horizontal="left"/>
    </xf>
    <xf numFmtId="0" fontId="2" fillId="0" borderId="0" xfId="0" applyFont="1" applyAlignment="1" applyProtection="1">
      <alignment horizontal="left"/>
      <protection/>
    </xf>
    <xf numFmtId="0" fontId="0" fillId="0" borderId="0" xfId="0" applyAlignment="1">
      <alignment horizontal="right"/>
    </xf>
    <xf numFmtId="177" fontId="3" fillId="0" borderId="0" xfId="0" applyNumberFormat="1" applyFont="1" applyAlignment="1">
      <alignment horizontal="center"/>
    </xf>
    <xf numFmtId="7" fontId="0" fillId="0" borderId="0" xfId="0" applyNumberFormat="1" applyAlignment="1">
      <alignment/>
    </xf>
    <xf numFmtId="3" fontId="0" fillId="0" borderId="0" xfId="0" applyNumberFormat="1" applyAlignment="1">
      <alignment/>
    </xf>
    <xf numFmtId="0" fontId="0" fillId="0" borderId="0" xfId="0" applyFont="1" applyAlignment="1" applyProtection="1">
      <alignment/>
      <protection locked="0"/>
    </xf>
    <xf numFmtId="177" fontId="0" fillId="0" borderId="0" xfId="0" applyNumberFormat="1" applyAlignment="1">
      <alignment/>
    </xf>
    <xf numFmtId="219" fontId="0" fillId="0" borderId="0" xfId="0" applyNumberFormat="1" applyFont="1" applyAlignment="1">
      <alignment/>
    </xf>
    <xf numFmtId="176" fontId="0" fillId="0" borderId="0" xfId="0" applyNumberFormat="1" applyFont="1" applyAlignment="1">
      <alignment/>
    </xf>
    <xf numFmtId="1" fontId="0" fillId="0" borderId="0" xfId="0" applyNumberFormat="1" applyFont="1" applyAlignment="1">
      <alignment/>
    </xf>
    <xf numFmtId="173" fontId="0" fillId="0" borderId="0" xfId="0" applyNumberFormat="1" applyAlignment="1">
      <alignment/>
    </xf>
    <xf numFmtId="2" fontId="0" fillId="0" borderId="0" xfId="0" applyNumberFormat="1" applyAlignment="1">
      <alignment/>
    </xf>
    <xf numFmtId="2" fontId="3" fillId="0" borderId="0" xfId="0" applyNumberFormat="1" applyFont="1" applyAlignment="1">
      <alignment/>
    </xf>
    <xf numFmtId="173" fontId="3" fillId="0" borderId="0" xfId="0" applyNumberFormat="1" applyFont="1" applyAlignment="1">
      <alignment/>
    </xf>
    <xf numFmtId="219" fontId="3" fillId="0" borderId="0" xfId="0" applyNumberFormat="1" applyFont="1" applyAlignment="1">
      <alignment/>
    </xf>
    <xf numFmtId="0" fontId="0" fillId="0" borderId="0" xfId="0" applyAlignment="1" applyProtection="1">
      <alignment horizontal="center" vertical="top"/>
      <protection/>
    </xf>
    <xf numFmtId="179" fontId="0" fillId="0" borderId="0" xfId="0" applyNumberFormat="1" applyFont="1" applyAlignment="1">
      <alignment/>
    </xf>
    <xf numFmtId="179" fontId="0" fillId="0" borderId="0" xfId="0" applyNumberFormat="1" applyAlignment="1">
      <alignment/>
    </xf>
    <xf numFmtId="0" fontId="0" fillId="0" borderId="0" xfId="0" applyFill="1" applyAlignment="1">
      <alignment/>
    </xf>
    <xf numFmtId="0" fontId="0" fillId="0" borderId="0" xfId="0" applyFont="1" applyFill="1" applyAlignment="1" applyProtection="1">
      <alignment/>
      <protection locked="0"/>
    </xf>
    <xf numFmtId="0" fontId="3" fillId="0" borderId="0" xfId="0" applyFont="1" applyAlignment="1">
      <alignment/>
    </xf>
    <xf numFmtId="1" fontId="3" fillId="0" borderId="0" xfId="0" applyNumberFormat="1" applyFont="1" applyAlignment="1">
      <alignment/>
    </xf>
    <xf numFmtId="0" fontId="0" fillId="0" borderId="0" xfId="0" applyFont="1" applyAlignment="1">
      <alignment/>
    </xf>
    <xf numFmtId="5" fontId="0" fillId="0" borderId="0" xfId="0" applyNumberFormat="1" applyFont="1" applyAlignment="1">
      <alignment/>
    </xf>
    <xf numFmtId="177" fontId="7" fillId="0" borderId="0" xfId="0" applyNumberFormat="1" applyFont="1" applyFill="1" applyAlignment="1" applyProtection="1">
      <alignment/>
      <protection/>
    </xf>
    <xf numFmtId="0" fontId="16" fillId="0" borderId="0" xfId="0" applyFont="1" applyAlignment="1">
      <alignment/>
    </xf>
    <xf numFmtId="0" fontId="17" fillId="0" borderId="0" xfId="0" applyFont="1" applyAlignment="1">
      <alignment/>
    </xf>
    <xf numFmtId="0" fontId="12" fillId="0" borderId="0" xfId="0" applyFont="1" applyAlignment="1">
      <alignment/>
    </xf>
    <xf numFmtId="3" fontId="12" fillId="0" borderId="0" xfId="0" applyNumberFormat="1" applyFont="1" applyAlignment="1">
      <alignment/>
    </xf>
    <xf numFmtId="0" fontId="13" fillId="0" borderId="0" xfId="0" applyFont="1" applyAlignment="1" applyProtection="1">
      <alignment/>
      <protection/>
    </xf>
    <xf numFmtId="0" fontId="12" fillId="0" borderId="0" xfId="0" applyFont="1" applyAlignment="1" applyProtection="1">
      <alignment/>
      <protection/>
    </xf>
    <xf numFmtId="189" fontId="12" fillId="0" borderId="0" xfId="0" applyNumberFormat="1" applyFont="1" applyAlignment="1">
      <alignment/>
    </xf>
    <xf numFmtId="177" fontId="12" fillId="0" borderId="0" xfId="0" applyNumberFormat="1" applyFont="1" applyAlignment="1">
      <alignment/>
    </xf>
    <xf numFmtId="189" fontId="12" fillId="0" borderId="11" xfId="0" applyNumberFormat="1" applyFont="1" applyBorder="1" applyAlignment="1">
      <alignment/>
    </xf>
    <xf numFmtId="0" fontId="12" fillId="0" borderId="0" xfId="0" applyFont="1" applyFill="1" applyAlignment="1">
      <alignment/>
    </xf>
    <xf numFmtId="0" fontId="12" fillId="0" borderId="0" xfId="0" applyFont="1" applyFill="1" applyAlignment="1" applyProtection="1">
      <alignment/>
      <protection/>
    </xf>
    <xf numFmtId="189" fontId="13" fillId="0" borderId="11" xfId="0" applyNumberFormat="1" applyFont="1" applyBorder="1" applyAlignment="1">
      <alignment/>
    </xf>
    <xf numFmtId="0" fontId="20" fillId="0" borderId="0" xfId="0" applyFont="1" applyAlignment="1">
      <alignment/>
    </xf>
    <xf numFmtId="189" fontId="13" fillId="0" borderId="0" xfId="0" applyNumberFormat="1" applyFont="1" applyBorder="1" applyAlignment="1">
      <alignment/>
    </xf>
    <xf numFmtId="0" fontId="12" fillId="0" borderId="0" xfId="0" applyFont="1" applyAlignment="1">
      <alignment/>
    </xf>
    <xf numFmtId="0" fontId="21" fillId="0" borderId="0" xfId="0" applyFont="1" applyAlignment="1">
      <alignment/>
    </xf>
    <xf numFmtId="177" fontId="3" fillId="0" borderId="0" xfId="0" applyNumberFormat="1" applyFont="1" applyFill="1" applyAlignment="1" applyProtection="1">
      <alignment/>
      <protection/>
    </xf>
    <xf numFmtId="0" fontId="18" fillId="0" borderId="0" xfId="0" applyFont="1" applyAlignment="1">
      <alignment/>
    </xf>
    <xf numFmtId="0" fontId="18" fillId="0" borderId="0" xfId="0" applyFont="1" applyAlignment="1" applyProtection="1">
      <alignment/>
      <protection/>
    </xf>
    <xf numFmtId="0" fontId="0" fillId="0" borderId="0" xfId="0" applyAlignment="1">
      <alignment vertical="top" wrapText="1"/>
    </xf>
    <xf numFmtId="0" fontId="0" fillId="0" borderId="0" xfId="0" applyAlignment="1">
      <alignment horizontal="right" vertical="top" wrapText="1"/>
    </xf>
    <xf numFmtId="0" fontId="0" fillId="0" borderId="0" xfId="0" applyFill="1" applyAlignment="1" applyProtection="1">
      <alignment/>
      <protection/>
    </xf>
    <xf numFmtId="193" fontId="7" fillId="0" borderId="0" xfId="0" applyNumberFormat="1" applyFont="1" applyFill="1" applyAlignment="1" applyProtection="1">
      <alignment/>
      <protection locked="0"/>
    </xf>
    <xf numFmtId="0" fontId="0" fillId="0" borderId="0" xfId="0" applyFont="1" applyAlignment="1">
      <alignment horizontal="left"/>
    </xf>
    <xf numFmtId="0" fontId="0" fillId="0" borderId="0" xfId="0" applyFont="1" applyFill="1" applyAlignment="1">
      <alignment/>
    </xf>
    <xf numFmtId="0" fontId="3" fillId="0" borderId="0" xfId="0" applyFont="1" applyFill="1" applyAlignment="1">
      <alignment horizontal="center"/>
    </xf>
    <xf numFmtId="3" fontId="3" fillId="0" borderId="0" xfId="0" applyNumberFormat="1" applyFont="1" applyFill="1" applyAlignment="1">
      <alignment/>
    </xf>
    <xf numFmtId="0" fontId="3" fillId="0" borderId="0" xfId="0" applyFont="1" applyFill="1" applyAlignment="1">
      <alignment/>
    </xf>
    <xf numFmtId="0" fontId="0" fillId="0" borderId="11" xfId="0" applyFont="1" applyFill="1" applyBorder="1" applyAlignment="1">
      <alignment/>
    </xf>
    <xf numFmtId="7" fontId="1" fillId="0" borderId="0" xfId="0" applyNumberFormat="1" applyFont="1" applyFill="1" applyAlignment="1">
      <alignment horizontal="center"/>
    </xf>
    <xf numFmtId="177" fontId="1" fillId="0" borderId="0" xfId="0" applyNumberFormat="1" applyFont="1" applyFill="1" applyAlignment="1">
      <alignment/>
    </xf>
    <xf numFmtId="0" fontId="1" fillId="0" borderId="0" xfId="0" applyFont="1" applyFill="1" applyAlignment="1">
      <alignment/>
    </xf>
    <xf numFmtId="0" fontId="0" fillId="0" borderId="0" xfId="0" applyFont="1" applyFill="1" applyAlignment="1">
      <alignment horizontal="center"/>
    </xf>
    <xf numFmtId="3" fontId="0" fillId="0" borderId="0" xfId="0" applyNumberFormat="1" applyFont="1" applyFill="1" applyAlignment="1">
      <alignment/>
    </xf>
    <xf numFmtId="177" fontId="0" fillId="0" borderId="0" xfId="0" applyNumberFormat="1" applyFill="1" applyAlignment="1">
      <alignment/>
    </xf>
    <xf numFmtId="0" fontId="0" fillId="0" borderId="0" xfId="0" applyFont="1" applyFill="1" applyBorder="1" applyAlignment="1">
      <alignment/>
    </xf>
    <xf numFmtId="0" fontId="18" fillId="0" borderId="0" xfId="0" applyFont="1" applyAlignment="1">
      <alignment/>
    </xf>
    <xf numFmtId="0" fontId="22" fillId="0" borderId="0" xfId="0" applyFont="1" applyAlignment="1">
      <alignment/>
    </xf>
    <xf numFmtId="17" fontId="1" fillId="0" borderId="0" xfId="52" applyNumberFormat="1" applyFont="1" applyAlignment="1">
      <alignment vertical="top"/>
      <protection/>
    </xf>
    <xf numFmtId="3" fontId="12" fillId="0" borderId="11" xfId="0" applyNumberFormat="1" applyFont="1" applyBorder="1" applyAlignment="1">
      <alignment/>
    </xf>
    <xf numFmtId="3" fontId="12" fillId="0" borderId="0" xfId="0" applyNumberFormat="1" applyFont="1" applyBorder="1" applyAlignment="1">
      <alignment/>
    </xf>
    <xf numFmtId="3" fontId="12" fillId="0" borderId="0" xfId="0" applyNumberFormat="1" applyFont="1" applyFill="1" applyBorder="1" applyAlignment="1">
      <alignment/>
    </xf>
    <xf numFmtId="3" fontId="12" fillId="0" borderId="0" xfId="0" applyNumberFormat="1" applyFont="1" applyFill="1" applyAlignment="1">
      <alignment/>
    </xf>
    <xf numFmtId="3" fontId="12" fillId="0" borderId="0" xfId="0" applyNumberFormat="1" applyFont="1" applyAlignment="1">
      <alignment horizontal="center"/>
    </xf>
    <xf numFmtId="3" fontId="13" fillId="0" borderId="0" xfId="0" applyNumberFormat="1" applyFont="1" applyBorder="1" applyAlignment="1">
      <alignment/>
    </xf>
    <xf numFmtId="0" fontId="2" fillId="0" borderId="0" xfId="0" applyFont="1" applyBorder="1" applyAlignment="1" applyProtection="1">
      <alignment horizontal="center"/>
      <protection/>
    </xf>
    <xf numFmtId="0" fontId="1" fillId="0" borderId="0" xfId="0" applyFont="1" applyBorder="1" applyAlignment="1" applyProtection="1">
      <alignment horizontal="center"/>
      <protection/>
    </xf>
    <xf numFmtId="7" fontId="0" fillId="0" borderId="0" xfId="0" applyNumberFormat="1" applyFont="1" applyBorder="1" applyAlignment="1">
      <alignment horizontal="right"/>
    </xf>
    <xf numFmtId="0" fontId="12" fillId="33" borderId="0" xfId="0" applyFont="1" applyFill="1" applyAlignment="1">
      <alignment horizontal="left" indent="1"/>
    </xf>
    <xf numFmtId="0" fontId="12" fillId="33" borderId="0" xfId="0" applyFont="1" applyFill="1" applyAlignment="1">
      <alignment horizontal="right" indent="1"/>
    </xf>
    <xf numFmtId="0" fontId="22" fillId="0" borderId="0" xfId="0" applyFont="1" applyFill="1" applyAlignment="1">
      <alignment/>
    </xf>
    <xf numFmtId="0" fontId="5" fillId="0" borderId="0" xfId="0" applyFont="1" applyFill="1" applyAlignment="1">
      <alignment/>
    </xf>
    <xf numFmtId="219" fontId="5" fillId="0" borderId="0" xfId="0" applyNumberFormat="1" applyFont="1" applyFill="1" applyAlignment="1">
      <alignment/>
    </xf>
    <xf numFmtId="177" fontId="1"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177" fontId="0" fillId="0" borderId="0" xfId="52" applyFill="1">
      <alignment vertical="top"/>
      <protection/>
    </xf>
    <xf numFmtId="177" fontId="18" fillId="0" borderId="0" xfId="52" applyFont="1">
      <alignment vertical="top"/>
      <protection/>
    </xf>
    <xf numFmtId="0" fontId="12" fillId="33" borderId="0" xfId="0" applyFont="1" applyFill="1" applyAlignment="1">
      <alignment horizontal="center"/>
    </xf>
    <xf numFmtId="0" fontId="19" fillId="33" borderId="0" xfId="0" applyFont="1" applyFill="1" applyAlignment="1">
      <alignment horizontal="center"/>
    </xf>
    <xf numFmtId="189" fontId="13" fillId="0" borderId="11" xfId="0" applyNumberFormat="1" applyFont="1" applyFill="1" applyBorder="1" applyAlignment="1">
      <alignment/>
    </xf>
    <xf numFmtId="0" fontId="18" fillId="0" borderId="0" xfId="0" applyFont="1" applyFill="1" applyAlignment="1">
      <alignment/>
    </xf>
    <xf numFmtId="0" fontId="3" fillId="0" borderId="0" xfId="0" applyNumberFormat="1" applyFont="1" applyAlignment="1">
      <alignment/>
    </xf>
    <xf numFmtId="189" fontId="3" fillId="0" borderId="0" xfId="0" applyNumberFormat="1" applyFont="1" applyFill="1" applyAlignment="1">
      <alignment/>
    </xf>
    <xf numFmtId="0" fontId="12" fillId="0" borderId="0" xfId="0" applyFont="1" applyAlignment="1" applyProtection="1">
      <alignment/>
      <protection/>
    </xf>
    <xf numFmtId="0" fontId="12" fillId="0" borderId="0" xfId="0" applyFont="1" applyFill="1" applyAlignment="1" applyProtection="1">
      <alignment/>
      <protection/>
    </xf>
    <xf numFmtId="3" fontId="0" fillId="0" borderId="0" xfId="0" applyNumberFormat="1" applyFont="1" applyAlignment="1">
      <alignment/>
    </xf>
    <xf numFmtId="219" fontId="1" fillId="0" borderId="0" xfId="0" applyNumberFormat="1" applyFont="1" applyAlignment="1">
      <alignment/>
    </xf>
    <xf numFmtId="0" fontId="13" fillId="0" borderId="0" xfId="0" applyFont="1" applyAlignment="1">
      <alignment/>
    </xf>
    <xf numFmtId="0" fontId="12" fillId="33" borderId="0" xfId="0" applyFont="1" applyFill="1" applyBorder="1" applyAlignment="1">
      <alignment/>
    </xf>
    <xf numFmtId="0" fontId="0" fillId="0" borderId="0" xfId="0" applyAlignment="1">
      <alignment wrapText="1"/>
    </xf>
    <xf numFmtId="0" fontId="6" fillId="0" borderId="0" xfId="0" applyFont="1" applyAlignment="1">
      <alignment horizontal="center" wrapText="1"/>
    </xf>
    <xf numFmtId="189" fontId="12" fillId="0" borderId="0" xfId="0" applyNumberFormat="1" applyFont="1" applyFill="1" applyAlignment="1">
      <alignment/>
    </xf>
    <xf numFmtId="0" fontId="13" fillId="0" borderId="0" xfId="0" applyFont="1" applyFill="1" applyAlignment="1">
      <alignment/>
    </xf>
    <xf numFmtId="3" fontId="13" fillId="0" borderId="0" xfId="0" applyNumberFormat="1" applyFont="1" applyFill="1" applyAlignment="1">
      <alignment/>
    </xf>
    <xf numFmtId="0" fontId="2" fillId="0" borderId="0" xfId="0" applyFont="1" applyFill="1" applyBorder="1" applyAlignment="1" applyProtection="1">
      <alignment horizontal="center"/>
      <protection/>
    </xf>
    <xf numFmtId="3" fontId="7" fillId="0" borderId="0" xfId="0" applyNumberFormat="1" applyFont="1" applyFill="1" applyAlignment="1" applyProtection="1">
      <alignment/>
      <protection/>
    </xf>
    <xf numFmtId="0" fontId="12" fillId="0" borderId="0" xfId="0" applyFont="1" applyFill="1" applyAlignment="1">
      <alignment horizontal="center"/>
    </xf>
    <xf numFmtId="0" fontId="23" fillId="0" borderId="0" xfId="0" applyFont="1" applyFill="1" applyAlignment="1" applyProtection="1">
      <alignment horizontal="center"/>
      <protection/>
    </xf>
    <xf numFmtId="0" fontId="12" fillId="0" borderId="0" xfId="0" applyFont="1" applyFill="1" applyAlignment="1" applyProtection="1">
      <alignment horizontal="center"/>
      <protection locked="0"/>
    </xf>
    <xf numFmtId="0" fontId="25" fillId="0" borderId="0" xfId="0" applyFont="1" applyFill="1" applyAlignment="1">
      <alignment/>
    </xf>
    <xf numFmtId="3" fontId="25" fillId="0" borderId="0" xfId="0" applyNumberFormat="1" applyFont="1" applyFill="1" applyAlignment="1">
      <alignment/>
    </xf>
    <xf numFmtId="0" fontId="18" fillId="0" borderId="0" xfId="0" applyFont="1" applyFill="1" applyAlignment="1">
      <alignment/>
    </xf>
    <xf numFmtId="4" fontId="12" fillId="0" borderId="0" xfId="0" applyNumberFormat="1" applyFont="1" applyFill="1" applyAlignment="1">
      <alignment vertical="top"/>
    </xf>
    <xf numFmtId="0" fontId="23" fillId="0" borderId="0" xfId="0" applyFont="1" applyFill="1" applyAlignment="1" applyProtection="1">
      <alignment horizontal="center" vertical="top"/>
      <protection/>
    </xf>
    <xf numFmtId="0" fontId="13" fillId="0" borderId="0" xfId="0" applyFont="1" applyFill="1" applyAlignment="1" applyProtection="1">
      <alignment horizontal="center"/>
      <protection/>
    </xf>
    <xf numFmtId="0" fontId="13" fillId="0" borderId="0" xfId="0" applyFont="1" applyFill="1" applyAlignment="1" applyProtection="1">
      <alignment horizontal="right"/>
      <protection/>
    </xf>
    <xf numFmtId="0" fontId="13" fillId="0" borderId="0" xfId="0" applyFont="1" applyFill="1" applyAlignment="1" applyProtection="1">
      <alignment/>
      <protection/>
    </xf>
    <xf numFmtId="0" fontId="23" fillId="0" borderId="0" xfId="0" applyFont="1" applyFill="1" applyAlignment="1">
      <alignment horizontal="center"/>
    </xf>
    <xf numFmtId="0" fontId="23" fillId="0" borderId="0" xfId="0" applyFont="1" applyFill="1" applyAlignment="1" applyProtection="1">
      <alignment horizontal="right"/>
      <protection/>
    </xf>
    <xf numFmtId="0" fontId="23" fillId="0" borderId="0" xfId="0" applyFont="1" applyFill="1" applyAlignment="1" applyProtection="1">
      <alignment/>
      <protection/>
    </xf>
    <xf numFmtId="0" fontId="23" fillId="0" borderId="0" xfId="0" applyFont="1" applyFill="1" applyAlignment="1">
      <alignment/>
    </xf>
    <xf numFmtId="5" fontId="13" fillId="0" borderId="0" xfId="0" applyNumberFormat="1" applyFont="1" applyFill="1" applyAlignment="1" applyProtection="1">
      <alignment/>
      <protection/>
    </xf>
    <xf numFmtId="5" fontId="13" fillId="0" borderId="0" xfId="0" applyNumberFormat="1" applyFont="1" applyFill="1" applyAlignment="1">
      <alignment horizontal="center"/>
    </xf>
    <xf numFmtId="0" fontId="13" fillId="0" borderId="0" xfId="0" applyFont="1" applyFill="1" applyAlignment="1">
      <alignment/>
    </xf>
    <xf numFmtId="5" fontId="12" fillId="0" borderId="0" xfId="0" applyNumberFormat="1" applyFont="1" applyFill="1" applyAlignment="1">
      <alignment horizontal="center"/>
    </xf>
    <xf numFmtId="9" fontId="24" fillId="0" borderId="0" xfId="0" applyNumberFormat="1" applyFont="1" applyFill="1" applyAlignment="1" applyProtection="1">
      <alignment/>
      <protection locked="0"/>
    </xf>
    <xf numFmtId="0" fontId="13" fillId="0" borderId="0" xfId="0" applyFont="1" applyFill="1" applyAlignment="1" applyProtection="1">
      <alignment/>
      <protection locked="0"/>
    </xf>
    <xf numFmtId="5" fontId="23" fillId="0" borderId="0" xfId="0" applyNumberFormat="1" applyFont="1" applyFill="1" applyAlignment="1">
      <alignment/>
    </xf>
    <xf numFmtId="5" fontId="13" fillId="0" borderId="0" xfId="0" applyNumberFormat="1" applyFont="1" applyFill="1" applyAlignment="1">
      <alignment/>
    </xf>
    <xf numFmtId="0" fontId="0" fillId="0" borderId="0" xfId="0" applyFill="1" applyAlignment="1">
      <alignment horizontal="center"/>
    </xf>
    <xf numFmtId="3" fontId="0" fillId="0" borderId="0" xfId="0" applyNumberFormat="1" applyFill="1" applyAlignment="1">
      <alignment/>
    </xf>
    <xf numFmtId="177" fontId="0" fillId="0" borderId="0" xfId="0" applyNumberFormat="1" applyFont="1" applyFill="1" applyAlignment="1">
      <alignment/>
    </xf>
    <xf numFmtId="0" fontId="6" fillId="0" borderId="0" xfId="0" applyFont="1" applyAlignment="1">
      <alignment/>
    </xf>
    <xf numFmtId="0" fontId="4" fillId="0" borderId="0" xfId="0" applyFont="1" applyAlignment="1">
      <alignment/>
    </xf>
    <xf numFmtId="0" fontId="0" fillId="0" borderId="0" xfId="0" applyAlignment="1" applyProtection="1">
      <alignment horizontal="center"/>
      <protection/>
    </xf>
    <xf numFmtId="0" fontId="0" fillId="0" borderId="0" xfId="0" applyFont="1" applyBorder="1" applyAlignment="1">
      <alignment horizontal="center"/>
    </xf>
    <xf numFmtId="0" fontId="4" fillId="0" borderId="0" xfId="0" applyFont="1" applyAlignment="1">
      <alignment horizontal="center"/>
    </xf>
    <xf numFmtId="3" fontId="27" fillId="0" borderId="0" xfId="0" applyNumberFormat="1" applyFont="1" applyFill="1" applyAlignment="1" applyProtection="1">
      <alignment horizontal="center"/>
      <protection locked="0"/>
    </xf>
    <xf numFmtId="3" fontId="28" fillId="0" borderId="0" xfId="0" applyNumberFormat="1" applyFont="1" applyFill="1" applyAlignment="1">
      <alignment horizontal="center"/>
    </xf>
    <xf numFmtId="0" fontId="29" fillId="0" borderId="0" xfId="0" applyFont="1" applyFill="1" applyAlignment="1">
      <alignment/>
    </xf>
    <xf numFmtId="5" fontId="27" fillId="0" borderId="0" xfId="0" applyNumberFormat="1" applyFont="1" applyFill="1" applyAlignment="1">
      <alignment horizontal="center"/>
    </xf>
    <xf numFmtId="5" fontId="27" fillId="0" borderId="0" xfId="0" applyNumberFormat="1" applyFont="1" applyFill="1" applyAlignment="1" applyProtection="1">
      <alignment horizontal="center"/>
      <protection/>
    </xf>
    <xf numFmtId="0" fontId="30" fillId="0" borderId="0" xfId="0" applyFont="1" applyFill="1" applyAlignment="1" applyProtection="1">
      <alignment horizontal="center"/>
      <protection/>
    </xf>
    <xf numFmtId="0" fontId="28" fillId="0" borderId="0" xfId="0" applyFont="1" applyFill="1" applyAlignment="1">
      <alignment/>
    </xf>
    <xf numFmtId="0" fontId="28" fillId="0" borderId="0" xfId="0" applyFont="1" applyFill="1" applyAlignment="1">
      <alignment horizontal="center"/>
    </xf>
    <xf numFmtId="0" fontId="30" fillId="0" borderId="0" xfId="0" applyFont="1" applyFill="1" applyAlignment="1">
      <alignment horizontal="center"/>
    </xf>
    <xf numFmtId="5" fontId="30" fillId="0" borderId="0" xfId="0" applyNumberFormat="1" applyFont="1" applyFill="1" applyAlignment="1" applyProtection="1">
      <alignment horizontal="center"/>
      <protection/>
    </xf>
    <xf numFmtId="189" fontId="27" fillId="0" borderId="0" xfId="0" applyNumberFormat="1" applyFont="1" applyFill="1" applyAlignment="1">
      <alignment horizontal="center"/>
    </xf>
    <xf numFmtId="0" fontId="27" fillId="0" borderId="0" xfId="0" applyFont="1" applyFill="1" applyAlignment="1">
      <alignment horizontal="center"/>
    </xf>
    <xf numFmtId="9" fontId="27" fillId="0" borderId="0" xfId="0" applyNumberFormat="1" applyFont="1" applyFill="1" applyAlignment="1">
      <alignment horizontal="center"/>
    </xf>
    <xf numFmtId="0" fontId="29" fillId="0" borderId="0" xfId="0" applyFont="1" applyAlignment="1">
      <alignment/>
    </xf>
    <xf numFmtId="0" fontId="29" fillId="0" borderId="0" xfId="0" applyFont="1" applyAlignment="1" applyProtection="1">
      <alignment/>
      <protection/>
    </xf>
    <xf numFmtId="0" fontId="31" fillId="0" borderId="0" xfId="0" applyFont="1" applyAlignment="1" applyProtection="1">
      <alignment horizontal="center"/>
      <protection/>
    </xf>
    <xf numFmtId="7" fontId="32" fillId="0" borderId="0" xfId="0" applyNumberFormat="1" applyFont="1" applyAlignment="1" applyProtection="1">
      <alignment/>
      <protection locked="0"/>
    </xf>
    <xf numFmtId="0" fontId="32" fillId="0" borderId="0" xfId="0" applyFont="1" applyFill="1" applyAlignment="1" applyProtection="1">
      <alignment/>
      <protection locked="0"/>
    </xf>
    <xf numFmtId="0" fontId="32" fillId="0" borderId="0" xfId="0" applyFont="1" applyAlignment="1" applyProtection="1">
      <alignment/>
      <protection locked="0"/>
    </xf>
    <xf numFmtId="177" fontId="32" fillId="0" borderId="0" xfId="0" applyNumberFormat="1" applyFont="1" applyAlignment="1" applyProtection="1">
      <alignment/>
      <protection locked="0"/>
    </xf>
    <xf numFmtId="0" fontId="29" fillId="0" borderId="0" xfId="0" applyFont="1" applyAlignment="1" applyProtection="1">
      <alignment/>
      <protection locked="0"/>
    </xf>
    <xf numFmtId="0" fontId="31" fillId="0" borderId="0" xfId="0" applyFont="1" applyAlignment="1">
      <alignment horizontal="center"/>
    </xf>
    <xf numFmtId="7" fontId="32" fillId="0" borderId="0" xfId="0" applyNumberFormat="1" applyFont="1" applyFill="1" applyAlignment="1" applyProtection="1">
      <alignment/>
      <protection locked="0"/>
    </xf>
    <xf numFmtId="177" fontId="32" fillId="0" borderId="0" xfId="0" applyNumberFormat="1" applyFont="1" applyFill="1" applyAlignment="1">
      <alignment/>
    </xf>
    <xf numFmtId="0" fontId="32" fillId="0" borderId="0" xfId="0" applyFont="1" applyAlignment="1" applyProtection="1">
      <alignment horizontal="center"/>
      <protection/>
    </xf>
    <xf numFmtId="0" fontId="32" fillId="0" borderId="0" xfId="0" applyFont="1" applyAlignment="1">
      <alignment/>
    </xf>
    <xf numFmtId="0" fontId="32" fillId="0" borderId="0" xfId="0" applyFont="1" applyAlignment="1" applyProtection="1">
      <alignment/>
      <protection/>
    </xf>
    <xf numFmtId="0" fontId="31" fillId="0" borderId="0" xfId="0" applyFont="1" applyAlignment="1" applyProtection="1">
      <alignment/>
      <protection/>
    </xf>
    <xf numFmtId="0" fontId="31" fillId="0" borderId="0" xfId="0" applyFont="1" applyFill="1" applyAlignment="1">
      <alignment horizontal="center"/>
    </xf>
    <xf numFmtId="179" fontId="32" fillId="0" borderId="0" xfId="0" applyNumberFormat="1" applyFont="1" applyFill="1" applyAlignment="1" applyProtection="1">
      <alignment/>
      <protection locked="0"/>
    </xf>
    <xf numFmtId="179" fontId="32" fillId="0" borderId="0" xfId="0" applyNumberFormat="1" applyFont="1" applyAlignment="1">
      <alignment/>
    </xf>
    <xf numFmtId="179" fontId="31" fillId="0" borderId="0" xfId="0" applyNumberFormat="1" applyFont="1" applyAlignment="1">
      <alignment/>
    </xf>
    <xf numFmtId="177" fontId="32" fillId="0" borderId="0" xfId="0" applyNumberFormat="1" applyFont="1" applyAlignment="1">
      <alignment/>
    </xf>
    <xf numFmtId="0" fontId="29" fillId="0" borderId="0" xfId="0" applyFont="1" applyAlignment="1" applyProtection="1">
      <alignment horizontal="left"/>
      <protection/>
    </xf>
    <xf numFmtId="177" fontId="32" fillId="0" borderId="0" xfId="0" applyNumberFormat="1" applyFont="1" applyAlignment="1" applyProtection="1">
      <alignment/>
      <protection/>
    </xf>
    <xf numFmtId="7" fontId="32" fillId="0" borderId="0" xfId="0" applyNumberFormat="1" applyFont="1" applyAlignment="1" applyProtection="1">
      <alignment horizontal="center"/>
      <protection/>
    </xf>
    <xf numFmtId="177" fontId="29" fillId="0" borderId="0" xfId="0" applyNumberFormat="1" applyFont="1" applyAlignment="1">
      <alignment/>
    </xf>
    <xf numFmtId="0" fontId="31" fillId="0" borderId="0" xfId="0" applyFont="1" applyAlignment="1" applyProtection="1">
      <alignment horizontal="right"/>
      <protection/>
    </xf>
    <xf numFmtId="0" fontId="31" fillId="0" borderId="0" xfId="0" applyFont="1" applyAlignment="1">
      <alignment horizontal="right"/>
    </xf>
    <xf numFmtId="177" fontId="33" fillId="0" borderId="0" xfId="52" applyFont="1" applyAlignment="1">
      <alignment horizontal="center" vertical="center" wrapText="1" readingOrder="1"/>
      <protection/>
    </xf>
    <xf numFmtId="49" fontId="34" fillId="0" borderId="0" xfId="52" applyNumberFormat="1" applyFont="1" applyAlignment="1">
      <alignment vertical="center" wrapText="1" readingOrder="1"/>
      <protection/>
    </xf>
    <xf numFmtId="0" fontId="75" fillId="0" borderId="0" xfId="0" applyFont="1" applyAlignment="1">
      <alignment horizontal="left" readingOrder="1"/>
    </xf>
    <xf numFmtId="0" fontId="76" fillId="0" borderId="0" xfId="0" applyFont="1" applyAlignment="1">
      <alignment horizontal="left" readingOrder="1"/>
    </xf>
    <xf numFmtId="49" fontId="35" fillId="0" borderId="0" xfId="52" applyNumberFormat="1" applyFont="1" applyAlignment="1">
      <alignment horizontal="right" vertical="center" readingOrder="1"/>
      <protection/>
    </xf>
    <xf numFmtId="49" fontId="35" fillId="0" borderId="0" xfId="52" applyNumberFormat="1" applyFont="1" applyAlignment="1">
      <alignment vertical="center" wrapText="1" readingOrder="1"/>
      <protection/>
    </xf>
    <xf numFmtId="0" fontId="0" fillId="0" borderId="0" xfId="0" applyFont="1" applyAlignment="1">
      <alignment vertical="top"/>
    </xf>
    <xf numFmtId="0" fontId="12" fillId="0" borderId="0" xfId="0" applyFont="1" applyBorder="1" applyAlignment="1">
      <alignment vertical="top"/>
    </xf>
    <xf numFmtId="0" fontId="0" fillId="0" borderId="12" xfId="0" applyFont="1" applyBorder="1" applyAlignment="1">
      <alignment/>
    </xf>
    <xf numFmtId="0" fontId="5" fillId="0" borderId="12" xfId="0" applyFont="1" applyBorder="1" applyAlignment="1">
      <alignment/>
    </xf>
    <xf numFmtId="3" fontId="77" fillId="0" borderId="0" xfId="0" applyNumberFormat="1" applyFont="1" applyAlignment="1" applyProtection="1">
      <alignment/>
      <protection locked="0"/>
    </xf>
    <xf numFmtId="7" fontId="77" fillId="0" borderId="0" xfId="0" applyNumberFormat="1" applyFont="1" applyFill="1" applyAlignment="1" applyProtection="1">
      <alignment/>
      <protection locked="0"/>
    </xf>
    <xf numFmtId="3" fontId="77" fillId="0" borderId="0" xfId="0" applyNumberFormat="1" applyFont="1" applyFill="1" applyAlignment="1" applyProtection="1">
      <alignment horizontal="center"/>
      <protection locked="0"/>
    </xf>
    <xf numFmtId="193" fontId="77" fillId="0" borderId="0" xfId="0" applyNumberFormat="1" applyFont="1" applyFill="1" applyAlignment="1" applyProtection="1">
      <alignment/>
      <protection locked="0"/>
    </xf>
    <xf numFmtId="5" fontId="77" fillId="0" borderId="0" xfId="0" applyNumberFormat="1" applyFont="1" applyFill="1" applyAlignment="1" applyProtection="1">
      <alignment/>
      <protection locked="0"/>
    </xf>
    <xf numFmtId="9" fontId="77" fillId="0" borderId="0" xfId="0" applyNumberFormat="1" applyFont="1" applyFill="1" applyAlignment="1" applyProtection="1">
      <alignment horizontal="center"/>
      <protection locked="0"/>
    </xf>
    <xf numFmtId="189" fontId="77" fillId="0" borderId="0" xfId="0" applyNumberFormat="1" applyFont="1" applyFill="1" applyAlignment="1" applyProtection="1">
      <alignment horizontal="center"/>
      <protection locked="0"/>
    </xf>
    <xf numFmtId="189" fontId="78" fillId="0" borderId="0" xfId="0" applyNumberFormat="1" applyFont="1" applyFill="1" applyAlignment="1" applyProtection="1">
      <alignment horizontal="center"/>
      <protection locked="0"/>
    </xf>
    <xf numFmtId="0" fontId="77" fillId="0" borderId="0" xfId="0" applyFont="1" applyFill="1" applyAlignment="1" applyProtection="1">
      <alignment horizontal="center"/>
      <protection/>
    </xf>
    <xf numFmtId="0" fontId="78" fillId="0" borderId="0" xfId="0" applyFont="1" applyFill="1" applyAlignment="1" applyProtection="1">
      <alignment horizontal="center"/>
      <protection/>
    </xf>
    <xf numFmtId="9" fontId="78" fillId="0" borderId="0" xfId="0" applyNumberFormat="1" applyFont="1" applyFill="1" applyAlignment="1" applyProtection="1">
      <alignment horizontal="center"/>
      <protection locked="0"/>
    </xf>
    <xf numFmtId="189" fontId="77" fillId="0" borderId="0" xfId="0" applyNumberFormat="1" applyFont="1" applyFill="1" applyAlignment="1">
      <alignment horizontal="center"/>
    </xf>
    <xf numFmtId="189" fontId="78" fillId="0" borderId="0" xfId="0" applyNumberFormat="1" applyFont="1" applyFill="1" applyAlignment="1">
      <alignment horizontal="center"/>
    </xf>
    <xf numFmtId="0" fontId="77" fillId="0" borderId="0" xfId="0" applyFont="1" applyFill="1" applyAlignment="1" applyProtection="1">
      <alignment horizontal="center"/>
      <protection locked="0"/>
    </xf>
    <xf numFmtId="0" fontId="77" fillId="0" borderId="0" xfId="0" applyFont="1" applyFill="1" applyAlignment="1">
      <alignment horizontal="center"/>
    </xf>
    <xf numFmtId="0" fontId="78" fillId="0" borderId="0" xfId="0" applyFont="1" applyFill="1" applyAlignment="1">
      <alignment horizontal="center"/>
    </xf>
    <xf numFmtId="179" fontId="79" fillId="0" borderId="0" xfId="0" applyNumberFormat="1" applyFont="1" applyAlignment="1">
      <alignment/>
    </xf>
    <xf numFmtId="0" fontId="79" fillId="0" borderId="0" xfId="0" applyFont="1" applyAlignment="1">
      <alignment/>
    </xf>
    <xf numFmtId="179" fontId="80" fillId="0" borderId="0" xfId="0" applyNumberFormat="1" applyFont="1" applyAlignment="1">
      <alignment/>
    </xf>
    <xf numFmtId="177" fontId="79" fillId="0" borderId="0" xfId="0" applyNumberFormat="1" applyFont="1" applyAlignment="1" applyProtection="1">
      <alignment/>
      <protection locked="0"/>
    </xf>
    <xf numFmtId="0" fontId="79" fillId="0" borderId="0" xfId="0" applyFont="1" applyFill="1" applyAlignment="1" applyProtection="1">
      <alignment/>
      <protection locked="0"/>
    </xf>
    <xf numFmtId="177" fontId="79" fillId="0" borderId="0" xfId="0" applyNumberFormat="1" applyFont="1" applyFill="1" applyAlignment="1" applyProtection="1">
      <alignment/>
      <protection locked="0"/>
    </xf>
    <xf numFmtId="193" fontId="79" fillId="0" borderId="0" xfId="0" applyNumberFormat="1" applyFont="1" applyAlignment="1" applyProtection="1">
      <alignment/>
      <protection locked="0"/>
    </xf>
    <xf numFmtId="7" fontId="79" fillId="0" borderId="0" xfId="0" applyNumberFormat="1" applyFont="1" applyFill="1" applyAlignment="1" applyProtection="1">
      <alignment/>
      <protection locked="0"/>
    </xf>
    <xf numFmtId="7" fontId="79" fillId="0" borderId="0" xfId="0" applyNumberFormat="1" applyFont="1" applyAlignment="1" applyProtection="1">
      <alignment/>
      <protection locked="0"/>
    </xf>
    <xf numFmtId="3" fontId="79" fillId="0" borderId="0" xfId="0" applyNumberFormat="1" applyFont="1" applyAlignment="1" applyProtection="1">
      <alignment/>
      <protection locked="0"/>
    </xf>
    <xf numFmtId="0" fontId="79" fillId="0" borderId="0" xfId="0" applyNumberFormat="1" applyFont="1" applyAlignment="1" applyProtection="1">
      <alignment/>
      <protection locked="0"/>
    </xf>
    <xf numFmtId="8" fontId="79" fillId="0" borderId="0" xfId="0" applyNumberFormat="1" applyFont="1" applyAlignment="1" applyProtection="1">
      <alignment/>
      <protection locked="0"/>
    </xf>
    <xf numFmtId="177" fontId="79" fillId="0" borderId="0" xfId="0" applyNumberFormat="1" applyFont="1" applyFill="1" applyAlignment="1">
      <alignment/>
    </xf>
    <xf numFmtId="0" fontId="79" fillId="0" borderId="0" xfId="0" applyFont="1" applyFill="1" applyAlignment="1">
      <alignment/>
    </xf>
    <xf numFmtId="0" fontId="79" fillId="0" borderId="0" xfId="0" applyFont="1" applyAlignment="1" applyProtection="1">
      <alignment/>
      <protection locked="0"/>
    </xf>
    <xf numFmtId="3" fontId="79" fillId="0" borderId="0" xfId="0" applyNumberFormat="1" applyFont="1" applyFill="1" applyAlignment="1">
      <alignment/>
    </xf>
    <xf numFmtId="175" fontId="79" fillId="0" borderId="0" xfId="0" applyNumberFormat="1" applyFont="1" applyFill="1" applyAlignment="1">
      <alignment/>
    </xf>
    <xf numFmtId="177" fontId="79" fillId="0" borderId="0" xfId="0" applyNumberFormat="1" applyFont="1" applyFill="1" applyAlignment="1" applyProtection="1">
      <alignment/>
      <protection/>
    </xf>
    <xf numFmtId="179" fontId="79" fillId="0" borderId="0" xfId="0" applyNumberFormat="1" applyFont="1" applyAlignment="1" applyProtection="1">
      <alignment/>
      <protection locked="0"/>
    </xf>
    <xf numFmtId="179" fontId="79" fillId="0" borderId="0" xfId="0" applyNumberFormat="1" applyFont="1" applyFill="1" applyAlignment="1">
      <alignment/>
    </xf>
    <xf numFmtId="0" fontId="75" fillId="0" borderId="0" xfId="0" applyFont="1" applyAlignment="1">
      <alignment vertical="top" wrapText="1"/>
    </xf>
    <xf numFmtId="0" fontId="75" fillId="0" borderId="0" xfId="0" applyFont="1" applyAlignment="1">
      <alignment horizontal="left" vertical="top" wrapText="1" readingOrder="1"/>
    </xf>
    <xf numFmtId="0" fontId="0" fillId="0" borderId="0" xfId="0" applyAlignment="1">
      <alignment vertical="top" wrapText="1"/>
    </xf>
    <xf numFmtId="0" fontId="75" fillId="0" borderId="0" xfId="0" applyFont="1" applyAlignment="1">
      <alignment horizontal="left" wrapText="1" readingOrder="1"/>
    </xf>
    <xf numFmtId="177" fontId="37" fillId="0" borderId="0" xfId="52" applyFont="1" applyAlignment="1">
      <alignment horizontal="center" vertical="top" wrapText="1"/>
      <protection/>
    </xf>
    <xf numFmtId="177" fontId="38" fillId="0" borderId="0" xfId="52" applyFont="1" applyAlignment="1">
      <alignment horizontal="center" vertical="center" wrapText="1" readingOrder="1"/>
      <protection/>
    </xf>
    <xf numFmtId="0" fontId="75" fillId="0" borderId="0" xfId="0" applyFont="1" applyAlignment="1">
      <alignment horizontal="left" vertical="top" wrapText="1" readingOrder="1"/>
    </xf>
    <xf numFmtId="0" fontId="75" fillId="0" borderId="0" xfId="0" applyFont="1" applyAlignment="1">
      <alignment horizontal="left" vertical="top" wrapText="1"/>
    </xf>
    <xf numFmtId="0" fontId="81" fillId="0" borderId="0" xfId="0" applyFont="1" applyAlignment="1">
      <alignment horizontal="left" vertical="top" wrapText="1" readingOrder="1"/>
    </xf>
    <xf numFmtId="0" fontId="6" fillId="0" borderId="0" xfId="0" applyFont="1" applyFill="1" applyBorder="1" applyAlignment="1" applyProtection="1">
      <alignment horizontal="center"/>
      <protection/>
    </xf>
    <xf numFmtId="0" fontId="0" fillId="0" borderId="0" xfId="0" applyAlignment="1">
      <alignment horizontal="center"/>
    </xf>
    <xf numFmtId="0" fontId="13" fillId="0" borderId="0" xfId="0" applyFont="1" applyAlignment="1">
      <alignment vertical="top" wrapText="1"/>
    </xf>
    <xf numFmtId="0" fontId="12" fillId="0" borderId="0" xfId="0" applyFont="1" applyAlignment="1">
      <alignment vertical="top" wrapText="1"/>
    </xf>
    <xf numFmtId="0" fontId="6" fillId="0" borderId="0" xfId="0" applyFont="1" applyAlignment="1" applyProtection="1">
      <alignment horizontal="center" vertical="top" wrapText="1"/>
      <protection/>
    </xf>
    <xf numFmtId="0" fontId="0" fillId="0" borderId="0" xfId="0" applyAlignment="1">
      <alignment horizontal="center" vertical="top" wrapText="1"/>
    </xf>
    <xf numFmtId="0" fontId="12"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31" fillId="0" borderId="0" xfId="0" applyFont="1" applyAlignment="1">
      <alignment horizontal="center" wrapText="1"/>
    </xf>
    <xf numFmtId="0" fontId="29" fillId="0" borderId="0" xfId="0" applyFont="1" applyAlignment="1">
      <alignment wrapText="1"/>
    </xf>
    <xf numFmtId="0" fontId="29" fillId="0" borderId="0" xfId="0" applyFont="1" applyAlignment="1" quotePrefix="1">
      <alignment horizontal="center" vertical="top"/>
    </xf>
    <xf numFmtId="0" fontId="29" fillId="0" borderId="0" xfId="0" applyFont="1" applyAlignment="1">
      <alignment horizontal="center" vertical="top"/>
    </xf>
    <xf numFmtId="0" fontId="29" fillId="0" borderId="0" xfId="0" applyFont="1" applyAlignment="1">
      <alignment/>
    </xf>
    <xf numFmtId="0" fontId="0" fillId="0" borderId="0" xfId="0" applyAlignment="1">
      <alignment wrapText="1"/>
    </xf>
    <xf numFmtId="0" fontId="0" fillId="0" borderId="0" xfId="0" applyFont="1" applyAlignment="1">
      <alignment horizontal="left" wrapText="1"/>
    </xf>
    <xf numFmtId="0" fontId="12" fillId="33" borderId="13" xfId="0" applyFont="1" applyFill="1" applyBorder="1" applyAlignment="1">
      <alignment horizontal="center"/>
    </xf>
    <xf numFmtId="0" fontId="12" fillId="33" borderId="0" xfId="0" applyFont="1" applyFill="1" applyBorder="1" applyAlignment="1">
      <alignment horizontal="center"/>
    </xf>
    <xf numFmtId="0" fontId="13" fillId="0" borderId="0" xfId="0" applyFont="1" applyFill="1" applyAlignment="1" applyProtection="1">
      <alignment horizontal="left" wrapText="1"/>
      <protection/>
    </xf>
    <xf numFmtId="3" fontId="12" fillId="33" borderId="14" xfId="0" applyNumberFormat="1" applyFont="1" applyFill="1" applyBorder="1" applyAlignment="1">
      <alignment horizontal="center"/>
    </xf>
    <xf numFmtId="3" fontId="12" fillId="33" borderId="15" xfId="0" applyNumberFormat="1" applyFont="1" applyFill="1" applyBorder="1" applyAlignment="1">
      <alignment horizontal="center"/>
    </xf>
    <xf numFmtId="3" fontId="12" fillId="33" borderId="13" xfId="0" applyNumberFormat="1" applyFont="1" applyFill="1" applyBorder="1" applyAlignment="1">
      <alignment horizontal="center"/>
    </xf>
    <xf numFmtId="3" fontId="12" fillId="33" borderId="0" xfId="0" applyNumberFormat="1" applyFont="1" applyFill="1" applyBorder="1" applyAlignment="1">
      <alignment horizontal="center"/>
    </xf>
    <xf numFmtId="3" fontId="12" fillId="33" borderId="16" xfId="0" applyNumberFormat="1" applyFont="1" applyFill="1" applyBorder="1" applyAlignment="1">
      <alignment horizontal="center"/>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urrency"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rmal_Farrow-Wean 500"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A1:I58"/>
  <sheetViews>
    <sheetView showGridLines="0" tabSelected="1" zoomScale="90" zoomScaleNormal="90" zoomScaleSheetLayoutView="100" workbookViewId="0" topLeftCell="A1">
      <selection activeCell="A1" sqref="A1:H1"/>
    </sheetView>
  </sheetViews>
  <sheetFormatPr defaultColWidth="8.88671875" defaultRowHeight="15"/>
  <cols>
    <col min="1" max="1" width="4.6640625" style="10" customWidth="1"/>
    <col min="2" max="2" width="12.88671875" style="10" customWidth="1"/>
    <col min="3" max="3" width="6.88671875" style="10" customWidth="1"/>
    <col min="4" max="6" width="8.88671875" style="10" customWidth="1"/>
    <col min="7" max="7" width="6.21484375" style="10" customWidth="1"/>
    <col min="8" max="8" width="16.5546875" style="10" customWidth="1"/>
    <col min="9" max="16384" width="8.88671875" style="10" customWidth="1"/>
  </cols>
  <sheetData>
    <row r="1" spans="1:8" ht="20.25">
      <c r="A1" s="298" t="s">
        <v>88</v>
      </c>
      <c r="B1" s="298"/>
      <c r="C1" s="298"/>
      <c r="D1" s="298"/>
      <c r="E1" s="298"/>
      <c r="F1" s="298"/>
      <c r="G1" s="298"/>
      <c r="H1" s="298"/>
    </row>
    <row r="2" spans="1:8" ht="25.5">
      <c r="A2" s="299" t="s">
        <v>289</v>
      </c>
      <c r="B2" s="299"/>
      <c r="C2" s="299"/>
      <c r="D2" s="299"/>
      <c r="E2" s="299"/>
      <c r="F2" s="299"/>
      <c r="G2" s="299"/>
      <c r="H2" s="299"/>
    </row>
    <row r="3" spans="2:8" ht="30">
      <c r="B3" s="248"/>
      <c r="C3" s="248"/>
      <c r="D3" s="248"/>
      <c r="E3" s="248"/>
      <c r="F3" s="248"/>
      <c r="G3" s="248"/>
      <c r="H3" s="122"/>
    </row>
    <row r="4" spans="2:8" ht="30">
      <c r="B4" s="248"/>
      <c r="C4" s="248"/>
      <c r="D4" s="248"/>
      <c r="E4" s="248"/>
      <c r="F4" s="248"/>
      <c r="G4" s="248"/>
      <c r="H4" s="122"/>
    </row>
    <row r="5" spans="3:8" ht="15">
      <c r="C5" s="249"/>
      <c r="D5" s="249"/>
      <c r="E5" s="249"/>
      <c r="G5" s="253" t="s">
        <v>396</v>
      </c>
      <c r="H5" s="252" t="s">
        <v>402</v>
      </c>
    </row>
    <row r="6" spans="1:9" ht="15" customHeight="1">
      <c r="A6" s="157"/>
      <c r="B6" s="157"/>
      <c r="C6" s="157"/>
      <c r="E6" s="70"/>
      <c r="F6" s="140"/>
      <c r="G6" s="121"/>
      <c r="I6" s="11"/>
    </row>
    <row r="7" spans="1:9" ht="15" customHeight="1">
      <c r="A7" s="157"/>
      <c r="B7" s="157"/>
      <c r="C7" s="157"/>
      <c r="E7" s="70"/>
      <c r="F7" s="140"/>
      <c r="G7" s="121"/>
      <c r="I7" s="11"/>
    </row>
    <row r="8" spans="1:9" ht="15" customHeight="1">
      <c r="A8" s="300" t="s">
        <v>403</v>
      </c>
      <c r="B8" s="300"/>
      <c r="C8" s="300"/>
      <c r="D8" s="300"/>
      <c r="E8" s="300"/>
      <c r="F8" s="300"/>
      <c r="G8" s="300"/>
      <c r="H8" s="300"/>
      <c r="I8" s="11"/>
    </row>
    <row r="9" spans="1:8" ht="15" customHeight="1">
      <c r="A9" s="300"/>
      <c r="B9" s="300"/>
      <c r="C9" s="300"/>
      <c r="D9" s="300"/>
      <c r="E9" s="300"/>
      <c r="F9" s="300"/>
      <c r="G9" s="300"/>
      <c r="H9" s="300"/>
    </row>
    <row r="10" ht="15">
      <c r="B10"/>
    </row>
    <row r="11" spans="1:8" ht="15" customHeight="1">
      <c r="A11" s="301" t="s">
        <v>404</v>
      </c>
      <c r="B11" s="301"/>
      <c r="C11" s="301"/>
      <c r="D11" s="301"/>
      <c r="E11" s="301"/>
      <c r="F11" s="301"/>
      <c r="G11" s="301"/>
      <c r="H11" s="301"/>
    </row>
    <row r="12" spans="1:9" ht="15">
      <c r="A12" s="301"/>
      <c r="B12" s="301"/>
      <c r="C12" s="301"/>
      <c r="D12" s="301"/>
      <c r="E12" s="301"/>
      <c r="F12" s="301"/>
      <c r="G12" s="301"/>
      <c r="H12" s="301"/>
      <c r="I12" s="11"/>
    </row>
    <row r="13" spans="1:8" ht="15">
      <c r="A13" s="301"/>
      <c r="B13" s="301"/>
      <c r="C13" s="301"/>
      <c r="D13" s="301"/>
      <c r="E13" s="301"/>
      <c r="F13" s="301"/>
      <c r="G13" s="301"/>
      <c r="H13" s="301"/>
    </row>
    <row r="14" spans="1:8" ht="15">
      <c r="A14" s="301"/>
      <c r="B14" s="301"/>
      <c r="C14" s="301"/>
      <c r="D14" s="301"/>
      <c r="E14" s="301"/>
      <c r="F14" s="301"/>
      <c r="G14" s="301"/>
      <c r="H14" s="301"/>
    </row>
    <row r="15" spans="1:8" ht="15">
      <c r="A15" s="301"/>
      <c r="B15" s="301"/>
      <c r="C15" s="301"/>
      <c r="D15" s="301"/>
      <c r="E15" s="301"/>
      <c r="F15" s="301"/>
      <c r="G15" s="301"/>
      <c r="H15" s="301"/>
    </row>
    <row r="16" spans="1:8" ht="15">
      <c r="A16" s="301"/>
      <c r="B16" s="301"/>
      <c r="C16" s="301"/>
      <c r="D16" s="301"/>
      <c r="E16" s="301"/>
      <c r="F16" s="301"/>
      <c r="G16" s="301"/>
      <c r="H16" s="301"/>
    </row>
    <row r="17" spans="1:8" ht="15">
      <c r="A17" s="301"/>
      <c r="B17" s="301"/>
      <c r="C17" s="301"/>
      <c r="D17" s="301"/>
      <c r="E17" s="301"/>
      <c r="F17" s="301"/>
      <c r="G17" s="301"/>
      <c r="H17" s="301"/>
    </row>
    <row r="18" spans="1:9" ht="15">
      <c r="A18" s="301"/>
      <c r="B18" s="301"/>
      <c r="C18" s="301"/>
      <c r="D18" s="301"/>
      <c r="E18" s="301"/>
      <c r="F18" s="301"/>
      <c r="G18" s="301"/>
      <c r="H18" s="301"/>
      <c r="I18" s="158"/>
    </row>
    <row r="19" spans="1:8" ht="15">
      <c r="A19" s="301"/>
      <c r="B19" s="301"/>
      <c r="C19" s="301"/>
      <c r="D19" s="301"/>
      <c r="E19" s="301"/>
      <c r="F19" s="301"/>
      <c r="G19" s="301"/>
      <c r="H19" s="301"/>
    </row>
    <row r="20" spans="1:8" ht="15">
      <c r="A20" s="301"/>
      <c r="B20" s="301"/>
      <c r="C20" s="301"/>
      <c r="D20" s="301"/>
      <c r="E20" s="301"/>
      <c r="F20" s="301"/>
      <c r="G20" s="301"/>
      <c r="H20" s="301"/>
    </row>
    <row r="21" spans="1:8" ht="15">
      <c r="A21" s="301"/>
      <c r="B21" s="301"/>
      <c r="C21" s="301"/>
      <c r="D21" s="301"/>
      <c r="E21" s="301"/>
      <c r="F21" s="301"/>
      <c r="G21" s="301"/>
      <c r="H21" s="301"/>
    </row>
    <row r="22" spans="1:8" ht="15">
      <c r="A22" s="301"/>
      <c r="B22" s="301"/>
      <c r="C22" s="301"/>
      <c r="D22" s="301"/>
      <c r="E22" s="301"/>
      <c r="F22" s="301"/>
      <c r="G22" s="301"/>
      <c r="H22" s="301"/>
    </row>
    <row r="23" spans="1:8" ht="15">
      <c r="A23" s="294"/>
      <c r="B23" s="294"/>
      <c r="C23" s="294"/>
      <c r="D23" s="294"/>
      <c r="E23" s="294"/>
      <c r="F23" s="294"/>
      <c r="G23" s="294"/>
      <c r="H23" s="294"/>
    </row>
    <row r="24" spans="1:8" ht="15">
      <c r="A24" s="300" t="s">
        <v>405</v>
      </c>
      <c r="B24" s="300"/>
      <c r="C24" s="300"/>
      <c r="D24" s="300"/>
      <c r="E24" s="300"/>
      <c r="F24" s="300"/>
      <c r="G24" s="300"/>
      <c r="H24" s="300"/>
    </row>
    <row r="25" spans="1:8" ht="15">
      <c r="A25" s="300"/>
      <c r="B25" s="300"/>
      <c r="C25" s="300"/>
      <c r="D25" s="300"/>
      <c r="E25" s="300"/>
      <c r="F25" s="300"/>
      <c r="G25" s="300"/>
      <c r="H25" s="300"/>
    </row>
    <row r="26" spans="1:8" ht="15">
      <c r="A26" s="300"/>
      <c r="B26" s="300"/>
      <c r="C26" s="300"/>
      <c r="D26" s="300"/>
      <c r="E26" s="300"/>
      <c r="F26" s="300"/>
      <c r="G26" s="300"/>
      <c r="H26" s="300"/>
    </row>
    <row r="27" spans="1:8" ht="15">
      <c r="A27" s="300"/>
      <c r="B27" s="300"/>
      <c r="C27" s="300"/>
      <c r="D27" s="300"/>
      <c r="E27" s="300"/>
      <c r="F27" s="300"/>
      <c r="G27" s="300"/>
      <c r="H27" s="300"/>
    </row>
    <row r="28" spans="1:8" ht="15">
      <c r="A28" s="300"/>
      <c r="B28" s="300"/>
      <c r="C28" s="300"/>
      <c r="D28" s="300"/>
      <c r="E28" s="300"/>
      <c r="F28" s="300"/>
      <c r="G28" s="300"/>
      <c r="H28" s="300"/>
    </row>
    <row r="29" ht="15">
      <c r="B29" s="34"/>
    </row>
    <row r="30" spans="1:8" ht="15">
      <c r="A30" s="300" t="s">
        <v>406</v>
      </c>
      <c r="B30" s="300"/>
      <c r="C30" s="300"/>
      <c r="D30" s="300"/>
      <c r="E30" s="300"/>
      <c r="F30" s="300"/>
      <c r="G30" s="300"/>
      <c r="H30" s="300"/>
    </row>
    <row r="31" spans="1:8" ht="15">
      <c r="A31" s="300"/>
      <c r="B31" s="300"/>
      <c r="C31" s="300"/>
      <c r="D31" s="300"/>
      <c r="E31" s="300"/>
      <c r="F31" s="300"/>
      <c r="G31" s="300"/>
      <c r="H31" s="300"/>
    </row>
    <row r="32" spans="1:8" ht="15">
      <c r="A32" s="300"/>
      <c r="B32" s="300"/>
      <c r="C32" s="300"/>
      <c r="D32" s="300"/>
      <c r="E32" s="300"/>
      <c r="F32" s="300"/>
      <c r="G32" s="300"/>
      <c r="H32" s="300"/>
    </row>
    <row r="33" spans="1:8" ht="15">
      <c r="A33" s="295"/>
      <c r="B33" s="295"/>
      <c r="C33" s="295"/>
      <c r="D33" s="295"/>
      <c r="E33" s="295"/>
      <c r="F33" s="295"/>
      <c r="G33" s="295"/>
      <c r="H33" s="295"/>
    </row>
    <row r="34" ht="15">
      <c r="B34" s="34"/>
    </row>
    <row r="35" spans="1:8" ht="15">
      <c r="A35" s="302" t="s">
        <v>407</v>
      </c>
      <c r="B35" s="302"/>
      <c r="C35" s="302"/>
      <c r="D35" s="302"/>
      <c r="E35" s="302"/>
      <c r="F35" s="302"/>
      <c r="G35" s="302"/>
      <c r="H35" s="302"/>
    </row>
    <row r="36" spans="1:8" ht="15">
      <c r="A36" s="302"/>
      <c r="B36" s="302"/>
      <c r="C36" s="302"/>
      <c r="D36" s="302"/>
      <c r="E36" s="302"/>
      <c r="F36" s="302"/>
      <c r="G36" s="302"/>
      <c r="H36" s="302"/>
    </row>
    <row r="37" spans="1:8" ht="15">
      <c r="A37" s="302"/>
      <c r="B37" s="302"/>
      <c r="C37" s="302"/>
      <c r="D37" s="302"/>
      <c r="E37" s="302"/>
      <c r="F37" s="302"/>
      <c r="G37" s="302"/>
      <c r="H37" s="302"/>
    </row>
    <row r="38" spans="1:8" ht="15">
      <c r="A38" s="302"/>
      <c r="B38" s="302"/>
      <c r="C38" s="302"/>
      <c r="D38" s="302"/>
      <c r="E38" s="302"/>
      <c r="F38" s="302"/>
      <c r="G38" s="302"/>
      <c r="H38" s="302"/>
    </row>
    <row r="39" spans="1:8" ht="15">
      <c r="A39" s="302"/>
      <c r="B39" s="302"/>
      <c r="C39" s="302"/>
      <c r="D39" s="302"/>
      <c r="E39" s="302"/>
      <c r="F39" s="302"/>
      <c r="G39" s="302"/>
      <c r="H39" s="302"/>
    </row>
    <row r="40" spans="1:8" ht="15">
      <c r="A40" s="302"/>
      <c r="B40" s="302"/>
      <c r="C40" s="302"/>
      <c r="D40" s="302"/>
      <c r="E40" s="302"/>
      <c r="F40" s="302"/>
      <c r="G40" s="302"/>
      <c r="H40" s="302"/>
    </row>
    <row r="41" ht="15">
      <c r="B41" s="34"/>
    </row>
    <row r="42" ht="15">
      <c r="B42" s="34"/>
    </row>
    <row r="43" ht="15">
      <c r="B43" s="34"/>
    </row>
    <row r="44" ht="15">
      <c r="B44" s="34"/>
    </row>
    <row r="45" ht="15">
      <c r="B45" s="34"/>
    </row>
    <row r="46" ht="15">
      <c r="B46" s="34"/>
    </row>
    <row r="47" spans="1:8" ht="133.5" customHeight="1">
      <c r="A47" s="297"/>
      <c r="B47" s="297"/>
      <c r="C47" s="297"/>
      <c r="D47" s="297"/>
      <c r="E47" s="297"/>
      <c r="F47" s="297"/>
      <c r="G47" s="297"/>
      <c r="H47" s="297"/>
    </row>
    <row r="48" spans="1:2" ht="15">
      <c r="A48" s="250"/>
      <c r="B48" s="34"/>
    </row>
    <row r="49" spans="1:2" ht="15">
      <c r="A49" s="250"/>
      <c r="B49" s="34"/>
    </row>
    <row r="50" spans="1:3" ht="15">
      <c r="A50" s="250"/>
      <c r="B50" s="35"/>
      <c r="C50" s="35"/>
    </row>
    <row r="51" spans="1:8" ht="15">
      <c r="A51" s="250"/>
      <c r="B51" s="296"/>
      <c r="C51" s="296"/>
      <c r="D51" s="296"/>
      <c r="E51" s="296"/>
      <c r="F51" s="296"/>
      <c r="G51" s="296"/>
      <c r="H51" s="296"/>
    </row>
    <row r="52" spans="1:4" ht="15.75">
      <c r="A52" s="251"/>
      <c r="B52" s="34"/>
      <c r="C52" s="34"/>
      <c r="D52" s="34"/>
    </row>
    <row r="53" spans="2:4" ht="15">
      <c r="B53" s="34"/>
      <c r="C53" s="34"/>
      <c r="D53" s="34"/>
    </row>
    <row r="54" spans="2:4" ht="15">
      <c r="B54" s="34"/>
      <c r="C54" s="34"/>
      <c r="D54" s="34"/>
    </row>
    <row r="55" spans="2:4" ht="15">
      <c r="B55" s="34"/>
      <c r="C55" s="34"/>
      <c r="D55" s="34"/>
    </row>
    <row r="56" spans="2:4" ht="15">
      <c r="B56" s="34"/>
      <c r="C56" s="34"/>
      <c r="D56" s="34"/>
    </row>
    <row r="57" spans="2:4" ht="15">
      <c r="B57" s="34"/>
      <c r="C57" s="34"/>
      <c r="D57" s="34"/>
    </row>
    <row r="58" spans="2:4" ht="15">
      <c r="B58" s="34"/>
      <c r="C58" s="34"/>
      <c r="D58" s="34"/>
    </row>
  </sheetData>
  <sheetProtection password="C6A6" sheet="1"/>
  <mergeCells count="9">
    <mergeCell ref="B51:H51"/>
    <mergeCell ref="A47:H47"/>
    <mergeCell ref="A1:H1"/>
    <mergeCell ref="A2:H2"/>
    <mergeCell ref="A8:H9"/>
    <mergeCell ref="A11:H22"/>
    <mergeCell ref="A24:H28"/>
    <mergeCell ref="A30:H32"/>
    <mergeCell ref="A35:H40"/>
  </mergeCells>
  <printOptions/>
  <pageMargins left="0.7480314960629921" right="0.7480314960629921" top="0.8661417322834646" bottom="0.7874015748031497" header="0.5118110236220472" footer="0.5118110236220472"/>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P49"/>
  <sheetViews>
    <sheetView workbookViewId="0" topLeftCell="A1">
      <selection activeCell="D52" sqref="D52:D58"/>
    </sheetView>
  </sheetViews>
  <sheetFormatPr defaultColWidth="8.88671875" defaultRowHeight="15"/>
  <cols>
    <col min="1" max="1" width="3.3359375" style="2" customWidth="1"/>
    <col min="2" max="2" width="29.3359375" style="2" customWidth="1"/>
    <col min="3" max="3" width="13.88671875" style="2" bestFit="1" customWidth="1"/>
    <col min="4" max="4" width="14.21484375" style="2" bestFit="1" customWidth="1"/>
    <col min="5" max="5" width="10.88671875" style="2" bestFit="1" customWidth="1"/>
    <col min="6" max="6" width="14.6640625" style="2" bestFit="1" customWidth="1"/>
    <col min="7" max="7" width="10.77734375" style="2" customWidth="1"/>
    <col min="8" max="8" width="1.88671875" style="2" customWidth="1"/>
    <col min="9" max="9" width="12.21484375" style="1" customWidth="1"/>
    <col min="10" max="16384" width="8.88671875" style="1" customWidth="1"/>
  </cols>
  <sheetData>
    <row r="1" spans="2:9" ht="16.5">
      <c r="B1" s="12" t="s">
        <v>0</v>
      </c>
      <c r="C1" s="13"/>
      <c r="D1" s="13"/>
      <c r="E1" s="13"/>
      <c r="F1" s="13"/>
      <c r="G1" s="13"/>
      <c r="H1" s="13"/>
      <c r="I1" s="14"/>
    </row>
    <row r="2" spans="2:9" ht="18">
      <c r="B2" s="303" t="str">
        <f>"Summary - Saskatoon Berry Orchard Estimated Cost of Production "</f>
        <v>Summary - Saskatoon Berry Orchard Estimated Cost of Production </v>
      </c>
      <c r="C2" s="304"/>
      <c r="D2" s="304"/>
      <c r="E2" s="304"/>
      <c r="F2" s="304"/>
      <c r="G2" s="304"/>
      <c r="H2" s="304"/>
      <c r="I2" s="304"/>
    </row>
    <row r="3" spans="2:9" ht="16.5">
      <c r="B3" s="12"/>
      <c r="C3" s="13"/>
      <c r="D3" s="13"/>
      <c r="E3" s="13"/>
      <c r="F3" s="13"/>
      <c r="G3" s="13"/>
      <c r="H3" s="13"/>
      <c r="I3" s="14"/>
    </row>
    <row r="4" spans="2:9" s="2" customFormat="1" ht="15.75">
      <c r="B4" s="12"/>
      <c r="F4" s="148" t="s">
        <v>285</v>
      </c>
      <c r="I4" s="12"/>
    </row>
    <row r="5" spans="2:9" s="2" customFormat="1" ht="17.25" customHeight="1">
      <c r="B5" s="12"/>
      <c r="D5" s="26" t="s">
        <v>117</v>
      </c>
      <c r="E5" s="155" t="s">
        <v>288</v>
      </c>
      <c r="F5" s="148" t="s">
        <v>256</v>
      </c>
      <c r="H5" s="32"/>
      <c r="I5" s="12"/>
    </row>
    <row r="6" spans="2:9" s="2" customFormat="1" ht="17.25" customHeight="1">
      <c r="B6" s="12"/>
      <c r="C6" s="26" t="s">
        <v>117</v>
      </c>
      <c r="D6" s="148" t="s">
        <v>76</v>
      </c>
      <c r="E6" s="148" t="s">
        <v>282</v>
      </c>
      <c r="F6" s="26" t="s">
        <v>284</v>
      </c>
      <c r="G6" s="33"/>
      <c r="H6" s="32"/>
      <c r="I6" s="12"/>
    </row>
    <row r="7" spans="2:9" s="2" customFormat="1" ht="17.25" customHeight="1">
      <c r="B7" s="12"/>
      <c r="C7" s="148" t="s">
        <v>76</v>
      </c>
      <c r="D7" s="20" t="s">
        <v>287</v>
      </c>
      <c r="E7" s="148" t="s">
        <v>76</v>
      </c>
      <c r="F7" s="20" t="s">
        <v>286</v>
      </c>
      <c r="G7" s="33" t="s">
        <v>77</v>
      </c>
      <c r="H7" s="32"/>
      <c r="I7" s="12"/>
    </row>
    <row r="8" spans="1:9" s="2" customFormat="1" ht="15.75">
      <c r="A8" s="6" t="s">
        <v>228</v>
      </c>
      <c r="C8" s="147" t="s">
        <v>281</v>
      </c>
      <c r="D8" s="176" t="s">
        <v>371</v>
      </c>
      <c r="E8" s="32" t="s">
        <v>372</v>
      </c>
      <c r="F8" s="32" t="s">
        <v>372</v>
      </c>
      <c r="G8" s="28" t="s">
        <v>174</v>
      </c>
      <c r="H8" s="28"/>
      <c r="I8" s="47" t="s">
        <v>65</v>
      </c>
    </row>
    <row r="9" spans="2:16" ht="18.75">
      <c r="B9" s="12" t="s">
        <v>330</v>
      </c>
      <c r="C9" s="31">
        <f>'Establishment Costs'!D13</f>
        <v>1870</v>
      </c>
      <c r="D9" s="31">
        <f aca="true" t="shared" si="0" ref="D9:D22">C9/20</f>
        <v>93.5</v>
      </c>
      <c r="E9" s="149" t="s">
        <v>283</v>
      </c>
      <c r="F9" s="149">
        <f>SUM(D9:E9)</f>
        <v>93.5</v>
      </c>
      <c r="G9" s="84">
        <f>ROUND(F9/Assumptions!K39,4)</f>
        <v>0.0603</v>
      </c>
      <c r="H9" s="24"/>
      <c r="I9" s="15"/>
      <c r="J9" s="152"/>
      <c r="K9" s="154"/>
      <c r="L9" s="153"/>
      <c r="M9" s="153"/>
      <c r="N9" s="153"/>
      <c r="O9" s="153"/>
      <c r="P9" s="153"/>
    </row>
    <row r="10" spans="2:11" ht="16.5">
      <c r="B10" s="12" t="s">
        <v>26</v>
      </c>
      <c r="C10" s="31">
        <f>'Establishment Costs'!D21</f>
        <v>100</v>
      </c>
      <c r="D10" s="31">
        <f t="shared" si="0"/>
        <v>5</v>
      </c>
      <c r="E10" s="41">
        <f>'Production Costs'!D25</f>
        <v>64.55</v>
      </c>
      <c r="F10" s="149">
        <f aca="true" t="shared" si="1" ref="F10:F22">SUM(D10:E10)</f>
        <v>69.55</v>
      </c>
      <c r="G10" s="84">
        <f>ROUND((D10+E10*11/15)/Assumptions!$K$39,4)</f>
        <v>0.0337</v>
      </c>
      <c r="H10" s="24"/>
      <c r="I10" s="16"/>
      <c r="K10" s="153"/>
    </row>
    <row r="11" spans="2:11" ht="16.5">
      <c r="B11" s="12" t="s">
        <v>70</v>
      </c>
      <c r="C11" s="31">
        <f>'Establishment Costs'!D28</f>
        <v>28</v>
      </c>
      <c r="D11" s="31">
        <f t="shared" si="0"/>
        <v>1.4</v>
      </c>
      <c r="E11" s="41">
        <f>'Production Costs'!D30</f>
        <v>6</v>
      </c>
      <c r="F11" s="149">
        <f t="shared" si="1"/>
        <v>7.4</v>
      </c>
      <c r="G11" s="84">
        <f>ROUND((D11+E11*11/15)/Assumptions!$K$39,4)</f>
        <v>0.0037</v>
      </c>
      <c r="H11" s="24"/>
      <c r="I11" s="16"/>
      <c r="K11" s="153"/>
    </row>
    <row r="12" spans="2:11" ht="16.5">
      <c r="B12" s="12" t="s">
        <v>122</v>
      </c>
      <c r="C12" s="31">
        <f>'Establishment Costs'!D34</f>
        <v>90</v>
      </c>
      <c r="D12" s="31">
        <f t="shared" si="0"/>
        <v>4.5</v>
      </c>
      <c r="E12" s="41">
        <f>'Production Costs'!D35</f>
        <v>30</v>
      </c>
      <c r="F12" s="149">
        <f t="shared" si="1"/>
        <v>34.5</v>
      </c>
      <c r="G12" s="84">
        <f>ROUND((D12+E12*11/15)/Assumptions!$K$39,4)</f>
        <v>0.0171</v>
      </c>
      <c r="H12" s="24"/>
      <c r="I12" s="16"/>
      <c r="K12" s="153"/>
    </row>
    <row r="13" spans="2:11" ht="16.5">
      <c r="B13" s="12" t="s">
        <v>123</v>
      </c>
      <c r="C13" s="31">
        <f>'Establishment Costs'!D41</f>
        <v>69</v>
      </c>
      <c r="D13" s="31">
        <f t="shared" si="0"/>
        <v>3.45</v>
      </c>
      <c r="E13" s="41">
        <f>'Production Costs'!D42</f>
        <v>58.5</v>
      </c>
      <c r="F13" s="149">
        <f t="shared" si="1"/>
        <v>61.95</v>
      </c>
      <c r="G13" s="84">
        <f>ROUND((D13+E13*11/15)/Assumptions!$K$39,4)</f>
        <v>0.0299</v>
      </c>
      <c r="H13" s="24"/>
      <c r="I13" s="16"/>
      <c r="K13" s="153"/>
    </row>
    <row r="14" spans="2:11" ht="16.5">
      <c r="B14" s="12" t="s">
        <v>124</v>
      </c>
      <c r="C14" s="31">
        <f>'Establishment Costs'!H63</f>
        <v>45.94</v>
      </c>
      <c r="D14" s="31">
        <f t="shared" si="0"/>
        <v>2.2969999999999997</v>
      </c>
      <c r="E14" s="41">
        <f>'Production Costs'!H53</f>
        <v>26.5</v>
      </c>
      <c r="F14" s="149">
        <f t="shared" si="1"/>
        <v>28.797</v>
      </c>
      <c r="G14" s="84">
        <f>ROUND((D14+E14*11/15)/Assumptions!$K$39,4)</f>
        <v>0.014</v>
      </c>
      <c r="H14" s="24"/>
      <c r="I14" s="16"/>
      <c r="K14" s="153"/>
    </row>
    <row r="15" spans="2:11" ht="16.5">
      <c r="B15" s="12" t="s">
        <v>109</v>
      </c>
      <c r="C15" s="31">
        <f>'Establishment Costs'!D70</f>
        <v>80</v>
      </c>
      <c r="D15" s="31">
        <f t="shared" si="0"/>
        <v>4</v>
      </c>
      <c r="E15" s="41">
        <f>'Production Costs'!D59</f>
        <v>10</v>
      </c>
      <c r="F15" s="149">
        <f t="shared" si="1"/>
        <v>14</v>
      </c>
      <c r="G15" s="84">
        <f>ROUND((D15+E15*11/15)/Assumptions!$K$39,4)</f>
        <v>0.0073</v>
      </c>
      <c r="H15" s="24"/>
      <c r="I15" s="16"/>
      <c r="K15" s="153"/>
    </row>
    <row r="16" spans="2:11" ht="16.5">
      <c r="B16" s="12" t="s">
        <v>125</v>
      </c>
      <c r="C16" s="31">
        <f>'Establishment Costs'!D76</f>
        <v>15</v>
      </c>
      <c r="D16" s="31">
        <f t="shared" si="0"/>
        <v>0.75</v>
      </c>
      <c r="E16" s="41">
        <f>'Production Costs'!D64</f>
        <v>0</v>
      </c>
      <c r="F16" s="149">
        <f t="shared" si="1"/>
        <v>0.75</v>
      </c>
      <c r="G16" s="84">
        <f>ROUND((D16+E16*11/15)/Assumptions!$K$39,4)</f>
        <v>0.0005</v>
      </c>
      <c r="H16" s="24"/>
      <c r="I16" s="16"/>
      <c r="K16" s="153"/>
    </row>
    <row r="17" spans="2:11" ht="16.5">
      <c r="B17" s="12" t="s">
        <v>126</v>
      </c>
      <c r="C17" s="24">
        <f>'Establishment Costs'!D82</f>
        <v>619.5</v>
      </c>
      <c r="D17" s="31">
        <f t="shared" si="0"/>
        <v>30.975</v>
      </c>
      <c r="E17" s="42">
        <f>'Production Costs'!D69</f>
        <v>7.74</v>
      </c>
      <c r="F17" s="149">
        <f t="shared" si="1"/>
        <v>38.715</v>
      </c>
      <c r="G17" s="84">
        <f>ROUND((D17+E17*11/15)/Assumptions!$K$39,4)</f>
        <v>0.0236</v>
      </c>
      <c r="H17" s="24"/>
      <c r="I17" s="16"/>
      <c r="K17" s="153"/>
    </row>
    <row r="18" spans="2:11" ht="16.5">
      <c r="B18" s="12" t="s">
        <v>162</v>
      </c>
      <c r="C18" s="24">
        <f>'Establishment Costs'!D91</f>
        <v>315</v>
      </c>
      <c r="D18" s="31">
        <f t="shared" si="0"/>
        <v>15.75</v>
      </c>
      <c r="E18" s="42">
        <f>'Production Costs'!D74</f>
        <v>0</v>
      </c>
      <c r="F18" s="149">
        <f t="shared" si="1"/>
        <v>15.75</v>
      </c>
      <c r="G18" s="84">
        <f>ROUND((D18+E18*11/15)/Assumptions!$K$39,4)</f>
        <v>0.0102</v>
      </c>
      <c r="H18" s="24"/>
      <c r="I18" s="16"/>
      <c r="K18" s="153"/>
    </row>
    <row r="19" spans="2:11" ht="16.5">
      <c r="B19" s="12" t="s">
        <v>163</v>
      </c>
      <c r="C19" s="25">
        <f>'Establishment Costs'!D98</f>
        <v>160</v>
      </c>
      <c r="D19" s="25">
        <f t="shared" si="0"/>
        <v>8</v>
      </c>
      <c r="E19" s="43">
        <f>'Establishment Costs'!D96</f>
        <v>40</v>
      </c>
      <c r="F19" s="43">
        <f t="shared" si="1"/>
        <v>48</v>
      </c>
      <c r="G19" s="91">
        <f>ROUND((D19+E19*11/15)/Assumptions!$K$39,4)</f>
        <v>0.0241</v>
      </c>
      <c r="H19" s="24"/>
      <c r="I19" s="16"/>
      <c r="K19" s="153"/>
    </row>
    <row r="20" spans="2:11" ht="16.5">
      <c r="B20" s="12" t="s">
        <v>27</v>
      </c>
      <c r="C20" s="17">
        <f>ROUND(SUM(C9:C19),2)</f>
        <v>3392.44</v>
      </c>
      <c r="D20" s="31">
        <f t="shared" si="0"/>
        <v>169.622</v>
      </c>
      <c r="E20" s="37">
        <f>ROUND(SUM(E9:E19),2)</f>
        <v>243.29</v>
      </c>
      <c r="F20" s="149">
        <f t="shared" si="1"/>
        <v>412.91200000000003</v>
      </c>
      <c r="G20" s="84">
        <f>ROUND((D20+E20*11/15)/Assumptions!$K$39,4)</f>
        <v>0.2243</v>
      </c>
      <c r="H20" s="37"/>
      <c r="I20" s="16"/>
      <c r="K20" s="153"/>
    </row>
    <row r="21" spans="2:11" ht="16.5">
      <c r="B21" s="12" t="s">
        <v>164</v>
      </c>
      <c r="C21" s="25">
        <f>'Establishment Costs'!D104</f>
        <v>93.2921</v>
      </c>
      <c r="D21" s="25">
        <f t="shared" si="0"/>
        <v>4.664605</v>
      </c>
      <c r="E21" s="43">
        <f>'Production Costs'!D83</f>
        <v>6.690475</v>
      </c>
      <c r="F21" s="43">
        <f t="shared" si="1"/>
        <v>11.355080000000001</v>
      </c>
      <c r="G21" s="91">
        <f>ROUND((D21+E21*11/15)/Assumptions!$K$39,4)</f>
        <v>0.0062</v>
      </c>
      <c r="H21" s="24"/>
      <c r="I21" s="16"/>
      <c r="K21" s="153"/>
    </row>
    <row r="22" spans="2:11" ht="16.5">
      <c r="B22" s="6" t="s">
        <v>28</v>
      </c>
      <c r="C22" s="27">
        <f>C20+C21</f>
        <v>3485.7321</v>
      </c>
      <c r="D22" s="27">
        <f t="shared" si="0"/>
        <v>174.286605</v>
      </c>
      <c r="E22" s="44">
        <f>E20+E21</f>
        <v>249.98047499999998</v>
      </c>
      <c r="F22" s="44">
        <f t="shared" si="1"/>
        <v>424.26707999999996</v>
      </c>
      <c r="G22" s="168">
        <f>ROUND((D22+E22*11/15)/Assumptions!$K$39,4)</f>
        <v>0.2305</v>
      </c>
      <c r="H22" s="19"/>
      <c r="I22" s="16"/>
      <c r="K22" s="153"/>
    </row>
    <row r="23" spans="2:9" ht="16.5">
      <c r="B23" s="12"/>
      <c r="C23" s="12"/>
      <c r="D23" s="12"/>
      <c r="E23" s="36"/>
      <c r="F23" s="36"/>
      <c r="I23" s="12"/>
    </row>
    <row r="24" spans="1:9" ht="16.5">
      <c r="A24" s="6" t="s">
        <v>55</v>
      </c>
      <c r="B24" s="1"/>
      <c r="E24" s="45"/>
      <c r="F24" s="45"/>
      <c r="I24" s="12"/>
    </row>
    <row r="25" spans="1:9" ht="16.5">
      <c r="A25" s="12"/>
      <c r="B25" s="12" t="s">
        <v>29</v>
      </c>
      <c r="C25" s="17">
        <f>'Establishment Costs'!D115</f>
        <v>714</v>
      </c>
      <c r="D25" s="31">
        <f>C25/4</f>
        <v>178.5</v>
      </c>
      <c r="E25" s="37">
        <v>0</v>
      </c>
      <c r="F25" s="149">
        <f>SUM(D25:E25)</f>
        <v>178.5</v>
      </c>
      <c r="G25" s="84">
        <f>ROUND((D25+E25*11/15)/Assumptions!$K$39,4)</f>
        <v>0.1151</v>
      </c>
      <c r="H25" s="24"/>
      <c r="I25" s="15"/>
    </row>
    <row r="26" spans="1:9" ht="16.5">
      <c r="A26" s="12"/>
      <c r="B26" s="12" t="s">
        <v>30</v>
      </c>
      <c r="C26" s="118">
        <f>'Establishment Costs'!D123</f>
        <v>1188</v>
      </c>
      <c r="D26" s="25">
        <f>C26/4</f>
        <v>297</v>
      </c>
      <c r="E26" s="46">
        <v>0</v>
      </c>
      <c r="F26" s="43">
        <f>SUM(D26:E26)</f>
        <v>297</v>
      </c>
      <c r="G26" s="91">
        <f>ROUND((D26+E26*11/15)/Assumptions!$K$39,4)</f>
        <v>0.1914</v>
      </c>
      <c r="H26" s="24"/>
      <c r="I26" s="16"/>
    </row>
    <row r="27" spans="1:9" ht="16.5">
      <c r="A27" s="12"/>
      <c r="B27" s="12" t="s">
        <v>230</v>
      </c>
      <c r="C27" s="17">
        <f>SUM(C25:C26)</f>
        <v>1902</v>
      </c>
      <c r="D27" s="24">
        <f>SUM(D25:D26)</f>
        <v>475.5</v>
      </c>
      <c r="E27" s="17">
        <f>SUM(E25:E26)</f>
        <v>0</v>
      </c>
      <c r="F27" s="149">
        <f>SUM(F25:F26)</f>
        <v>475.5</v>
      </c>
      <c r="G27" s="84">
        <f>ROUND((D27+E27*11/15)/Assumptions!$K$39,4)</f>
        <v>0.3065</v>
      </c>
      <c r="H27" s="24"/>
      <c r="I27" s="36"/>
    </row>
    <row r="28" spans="1:9" ht="16.5">
      <c r="A28" s="12"/>
      <c r="B28" s="12"/>
      <c r="C28" s="17"/>
      <c r="D28" s="17"/>
      <c r="E28" s="17"/>
      <c r="F28" s="17"/>
      <c r="G28" s="17"/>
      <c r="H28" s="24"/>
      <c r="I28" s="36"/>
    </row>
    <row r="29" spans="1:9" ht="16.5">
      <c r="A29" s="6" t="s">
        <v>227</v>
      </c>
      <c r="B29" s="12"/>
      <c r="C29" s="19">
        <f>+C22+C27</f>
        <v>5387.7321</v>
      </c>
      <c r="D29" s="27">
        <f>C29/20</f>
        <v>269.38660500000003</v>
      </c>
      <c r="E29" s="19">
        <f>+E22+E27</f>
        <v>249.98047499999998</v>
      </c>
      <c r="F29" s="44">
        <f>SUM(D29:E29)</f>
        <v>519.36708</v>
      </c>
      <c r="G29" s="19">
        <f>+G22+G27</f>
        <v>0.537</v>
      </c>
      <c r="H29" s="24"/>
      <c r="I29" s="16"/>
    </row>
    <row r="30" spans="1:9" ht="16.5">
      <c r="A30" s="12"/>
      <c r="B30" s="12"/>
      <c r="C30" s="17"/>
      <c r="D30" s="17"/>
      <c r="E30" s="37"/>
      <c r="F30" s="37"/>
      <c r="G30" s="85"/>
      <c r="H30" s="24"/>
      <c r="I30" s="36"/>
    </row>
    <row r="31" spans="1:9" ht="16.5">
      <c r="A31" s="6" t="s">
        <v>229</v>
      </c>
      <c r="B31" s="12"/>
      <c r="C31" s="17"/>
      <c r="D31" s="17"/>
      <c r="E31" s="156"/>
      <c r="F31" s="37"/>
      <c r="G31" s="85"/>
      <c r="H31" s="24"/>
      <c r="I31" s="36"/>
    </row>
    <row r="32" spans="1:9" ht="16.5">
      <c r="A32" s="12"/>
      <c r="B32" s="12" t="s">
        <v>31</v>
      </c>
      <c r="C32" s="17">
        <f>'Establishment Costs'!D132</f>
        <v>365</v>
      </c>
      <c r="D32" s="31">
        <f>C32/4</f>
        <v>91.25</v>
      </c>
      <c r="E32" s="149">
        <v>0</v>
      </c>
      <c r="F32" s="149">
        <f>SUM(D32:E32)</f>
        <v>91.25</v>
      </c>
      <c r="G32" s="84">
        <f>ROUND((D32+E32*11/15)/Assumptions!$K$39,4)</f>
        <v>0.0588</v>
      </c>
      <c r="H32" s="24"/>
      <c r="I32" s="15"/>
    </row>
    <row r="33" spans="1:9" ht="16.5">
      <c r="A33" s="12"/>
      <c r="B33" s="12" t="s">
        <v>32</v>
      </c>
      <c r="C33" s="17">
        <f>'Establishment Costs'!D140</f>
        <v>163.63</v>
      </c>
      <c r="D33" s="31">
        <f>C33/4</f>
        <v>40.9075</v>
      </c>
      <c r="E33" s="149">
        <v>0</v>
      </c>
      <c r="F33" s="149">
        <f>SUM(D33:E33)</f>
        <v>40.9075</v>
      </c>
      <c r="G33" s="84">
        <f>ROUND((D33+E33*11/15)/Assumptions!$K$39,4)</f>
        <v>0.0264</v>
      </c>
      <c r="H33" s="24"/>
      <c r="I33" s="16"/>
    </row>
    <row r="34" spans="1:9" ht="16.5">
      <c r="A34" s="12"/>
      <c r="B34" s="12" t="s">
        <v>44</v>
      </c>
      <c r="C34" s="18">
        <f>'Establishment Costs'!D151</f>
        <v>272.25</v>
      </c>
      <c r="D34" s="25">
        <f>C34/4</f>
        <v>68.0625</v>
      </c>
      <c r="E34" s="149">
        <v>0</v>
      </c>
      <c r="F34" s="43">
        <f>SUM(D34:E34)</f>
        <v>68.0625</v>
      </c>
      <c r="G34" s="91">
        <f>ROUND((D34+E34*11/15)/Assumptions!$K$39,4)</f>
        <v>0.0439</v>
      </c>
      <c r="H34" s="25"/>
      <c r="I34" s="16"/>
    </row>
    <row r="35" spans="2:9" ht="16.5">
      <c r="B35" s="12" t="s">
        <v>232</v>
      </c>
      <c r="C35" s="17">
        <f>SUM(C32:C34)</f>
        <v>800.88</v>
      </c>
      <c r="D35" s="31">
        <f>C35/4</f>
        <v>200.22</v>
      </c>
      <c r="E35" s="149">
        <v>0</v>
      </c>
      <c r="F35" s="149">
        <f>SUM(D35:E35)</f>
        <v>200.22</v>
      </c>
      <c r="G35" s="84">
        <f>ROUND((D35+E35*11/15)/Assumptions!$K$39,4)</f>
        <v>0.1291</v>
      </c>
      <c r="I35" s="16"/>
    </row>
    <row r="36" spans="2:9" ht="16.5">
      <c r="B36" s="12"/>
      <c r="C36" s="17"/>
      <c r="D36" s="17"/>
      <c r="E36" s="17"/>
      <c r="F36" s="17"/>
      <c r="G36" s="17"/>
      <c r="I36" s="36"/>
    </row>
    <row r="37" spans="1:9" ht="16.5">
      <c r="A37" s="6" t="s">
        <v>233</v>
      </c>
      <c r="B37" s="12"/>
      <c r="C37" s="19">
        <f>C29+C35</f>
        <v>6188.6121</v>
      </c>
      <c r="D37" s="27">
        <f>D29+D35</f>
        <v>469.60660500000006</v>
      </c>
      <c r="E37" s="27">
        <f>E29+E35</f>
        <v>249.98047499999998</v>
      </c>
      <c r="F37" s="44">
        <f>SUM(D37:E37)</f>
        <v>719.58708</v>
      </c>
      <c r="G37" s="19">
        <f>G29+G35</f>
        <v>0.6661</v>
      </c>
      <c r="I37" s="16"/>
    </row>
    <row r="38" spans="2:9" ht="16.5">
      <c r="B38" s="12"/>
      <c r="C38" s="12"/>
      <c r="D38" s="12"/>
      <c r="E38" s="36"/>
      <c r="F38" s="36"/>
      <c r="G38" s="85"/>
      <c r="I38" s="12"/>
    </row>
    <row r="39" spans="1:9" ht="16.5">
      <c r="A39" s="102" t="s">
        <v>231</v>
      </c>
      <c r="B39" s="6"/>
      <c r="C39" s="27">
        <f>'Establishment Costs'!D161</f>
        <v>774.375</v>
      </c>
      <c r="D39" s="27">
        <f>C39/20</f>
        <v>38.71875</v>
      </c>
      <c r="E39" s="44">
        <f>'Production Costs'!D135</f>
        <v>728.1060606060606</v>
      </c>
      <c r="F39" s="44">
        <f>SUM(D39:E39)</f>
        <v>766.8248106060606</v>
      </c>
      <c r="G39" s="168">
        <f>ROUND((D39+E39*11/15)/Assumptions!$K$39,4)</f>
        <v>0.3691</v>
      </c>
      <c r="H39" s="27"/>
      <c r="I39" s="15"/>
    </row>
    <row r="40" spans="2:9" ht="16.5">
      <c r="B40" s="12"/>
      <c r="C40" s="12"/>
      <c r="D40" s="12"/>
      <c r="E40" s="36"/>
      <c r="F40" s="36"/>
      <c r="G40" s="85"/>
      <c r="I40" s="12"/>
    </row>
    <row r="41" spans="1:9" ht="16.5">
      <c r="A41" s="6" t="s">
        <v>63</v>
      </c>
      <c r="B41" s="1"/>
      <c r="C41" s="19">
        <f>C37+C39</f>
        <v>6962.9871</v>
      </c>
      <c r="D41" s="19">
        <f>D37+D39</f>
        <v>508.32535500000006</v>
      </c>
      <c r="E41" s="19">
        <f>E37+E39</f>
        <v>978.0865356060606</v>
      </c>
      <c r="F41" s="44">
        <f>SUM(D41:E41)</f>
        <v>1486.4118906060608</v>
      </c>
      <c r="G41" s="19">
        <f>G37+G39</f>
        <v>1.0352000000000001</v>
      </c>
      <c r="H41" s="29"/>
      <c r="I41" s="15"/>
    </row>
    <row r="42" spans="1:9" ht="17.25" thickBot="1">
      <c r="A42" s="256"/>
      <c r="B42" s="256"/>
      <c r="C42" s="256"/>
      <c r="D42" s="256"/>
      <c r="E42" s="256"/>
      <c r="F42" s="256"/>
      <c r="G42" s="256"/>
      <c r="H42" s="256"/>
      <c r="I42" s="257"/>
    </row>
    <row r="43" spans="3:10" ht="16.5" customHeight="1" thickTop="1">
      <c r="C43" s="254"/>
      <c r="D43" s="254"/>
      <c r="E43" s="254"/>
      <c r="F43" s="254"/>
      <c r="G43" s="254"/>
      <c r="H43" s="254"/>
      <c r="I43" s="254"/>
      <c r="J43" s="139"/>
    </row>
    <row r="44" spans="1:9" ht="16.5">
      <c r="A44" s="255" t="str">
        <f>"1. The cost of establishing the crop of $"&amp;FIXED(C41,2)&amp;" per acre, over a four year period, was spread over "&amp;COUNT(Assumptions!K13:K32)&amp;" years at $"&amp;FIXED(D41,2)&amp;" per year."</f>
        <v>1. The cost of establishing the crop of $6,962.99 per acre, over a four year period, was spread over 20 years at $508.33 per year.</v>
      </c>
      <c r="B44" s="254"/>
      <c r="C44" s="254"/>
      <c r="D44" s="254"/>
      <c r="E44" s="254"/>
      <c r="F44" s="254"/>
      <c r="G44" s="254"/>
      <c r="H44" s="254"/>
      <c r="I44" s="254"/>
    </row>
    <row r="45" spans="2:9" ht="7.5" customHeight="1">
      <c r="B45" s="34"/>
      <c r="C45" s="34"/>
      <c r="D45" s="34"/>
      <c r="E45" s="34"/>
      <c r="F45" s="34"/>
      <c r="G45" s="34"/>
      <c r="H45" s="34"/>
      <c r="I45" s="34"/>
    </row>
    <row r="46" spans="1:9" ht="16.5">
      <c r="A46" s="305" t="s">
        <v>189</v>
      </c>
      <c r="B46" s="306"/>
      <c r="C46" s="306"/>
      <c r="D46" s="306"/>
      <c r="E46" s="306"/>
      <c r="F46" s="306"/>
      <c r="G46" s="306"/>
      <c r="H46" s="306"/>
      <c r="I46" s="306"/>
    </row>
    <row r="47" spans="1:9" ht="16.5">
      <c r="A47" s="306"/>
      <c r="B47" s="306"/>
      <c r="C47" s="306"/>
      <c r="D47" s="306"/>
      <c r="E47" s="306"/>
      <c r="F47" s="306"/>
      <c r="G47" s="306"/>
      <c r="H47" s="306"/>
      <c r="I47" s="306"/>
    </row>
    <row r="48" spans="1:9" ht="16.5">
      <c r="A48" s="34"/>
      <c r="B48" s="34"/>
      <c r="C48" s="34"/>
      <c r="D48" s="34"/>
      <c r="E48" s="34"/>
      <c r="F48" s="34"/>
      <c r="G48" s="34"/>
      <c r="H48" s="34"/>
      <c r="I48" s="34"/>
    </row>
    <row r="49" spans="1:9" ht="16.5">
      <c r="A49" s="34"/>
      <c r="B49" s="34"/>
      <c r="C49" s="34"/>
      <c r="D49" s="34"/>
      <c r="E49" s="34"/>
      <c r="F49" s="34"/>
      <c r="G49" s="34"/>
      <c r="H49" s="34"/>
      <c r="I49" s="34"/>
    </row>
  </sheetData>
  <sheetProtection password="C6A6" sheet="1"/>
  <mergeCells count="2">
    <mergeCell ref="B2:I2"/>
    <mergeCell ref="A46:I47"/>
  </mergeCells>
  <printOptions/>
  <pageMargins left="0.7480314960629921" right="0.7480314960629921" top="0.984251968503937" bottom="0.984251968503937" header="0.5118110236220472" footer="0.5118110236220472"/>
  <pageSetup firstPageNumber="2" useFirstPageNumber="1" fitToHeight="1" fitToWidth="1" horizontalDpi="300" verticalDpi="300" orientation="portrait" scale="67" r:id="rId1"/>
  <headerFooter alignWithMargins="0">
    <oddHeader>&amp;L&amp;11Guidelines: Saskatoon Production Costs
&amp;R&amp;11&amp;P</oddHeader>
    <oddFooter>&amp;R&amp;"Arial,Italic"&amp;11MAFRI, GO Team Branch and Crops Knowledge Centre</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M76"/>
  <sheetViews>
    <sheetView zoomScaleSheetLayoutView="100" workbookViewId="0" topLeftCell="A1">
      <selection activeCell="G2" sqref="G2"/>
    </sheetView>
  </sheetViews>
  <sheetFormatPr defaultColWidth="8.88671875" defaultRowHeight="15"/>
  <cols>
    <col min="1" max="1" width="4.3359375" style="0" customWidth="1"/>
    <col min="2" max="2" width="18.99609375" style="0" customWidth="1"/>
    <col min="3" max="3" width="13.6640625" style="0" customWidth="1"/>
    <col min="4" max="4" width="13.99609375" style="0" customWidth="1"/>
    <col min="5" max="5" width="14.4453125" style="0" customWidth="1"/>
    <col min="6" max="6" width="13.77734375" style="0" customWidth="1"/>
    <col min="7" max="7" width="9.4453125" style="0" bestFit="1" customWidth="1"/>
    <col min="8" max="10" width="7.3359375" style="0" bestFit="1" customWidth="1"/>
    <col min="11" max="11" width="8.3359375" style="0" bestFit="1" customWidth="1"/>
    <col min="12" max="17" width="11.6640625" style="0" customWidth="1"/>
    <col min="18" max="18" width="13.10546875" style="0" customWidth="1"/>
    <col min="19" max="19" width="11.6640625" style="0" customWidth="1"/>
  </cols>
  <sheetData>
    <row r="1" spans="2:8" ht="18" customHeight="1">
      <c r="B1" s="307" t="s">
        <v>383</v>
      </c>
      <c r="C1" s="308"/>
      <c r="D1" s="308"/>
      <c r="E1" s="308"/>
      <c r="F1" s="308"/>
      <c r="G1" s="92"/>
      <c r="H1" s="92"/>
    </row>
    <row r="2" spans="2:7" ht="15.75">
      <c r="B2" s="165" t="s">
        <v>157</v>
      </c>
      <c r="C2" s="104"/>
      <c r="D2" s="165"/>
      <c r="E2" s="258">
        <v>20</v>
      </c>
      <c r="G2" s="21"/>
    </row>
    <row r="3" spans="2:7" ht="15.75">
      <c r="B3" s="165" t="s">
        <v>369</v>
      </c>
      <c r="C3" s="104"/>
      <c r="D3" s="165"/>
      <c r="E3" s="262">
        <v>2400</v>
      </c>
      <c r="G3" s="21"/>
    </row>
    <row r="4" spans="2:7" ht="15.75">
      <c r="B4" s="165" t="s">
        <v>370</v>
      </c>
      <c r="C4" s="104"/>
      <c r="D4" s="165"/>
      <c r="E4" s="262">
        <v>5000</v>
      </c>
      <c r="G4" s="21"/>
    </row>
    <row r="5" spans="2:7" ht="15.75">
      <c r="B5" s="165" t="s">
        <v>367</v>
      </c>
      <c r="C5" s="104"/>
      <c r="D5" s="165"/>
      <c r="E5" s="259">
        <v>15</v>
      </c>
      <c r="G5" s="66"/>
    </row>
    <row r="6" spans="2:7" s="95" customFormat="1" ht="15.75">
      <c r="B6" s="166" t="s">
        <v>368</v>
      </c>
      <c r="C6" s="111"/>
      <c r="D6" s="166"/>
      <c r="E6" s="259">
        <v>100</v>
      </c>
      <c r="G6" s="177"/>
    </row>
    <row r="7" spans="2:7" s="95" customFormat="1" ht="15.75">
      <c r="B7" s="166" t="s">
        <v>111</v>
      </c>
      <c r="C7" s="111"/>
      <c r="D7" s="166"/>
      <c r="E7" s="259">
        <v>0.98</v>
      </c>
      <c r="G7" s="101"/>
    </row>
    <row r="8" spans="2:7" s="95" customFormat="1" ht="15.75">
      <c r="B8" s="166" t="s">
        <v>102</v>
      </c>
      <c r="C8" s="111"/>
      <c r="D8" s="166"/>
      <c r="E8" s="261">
        <v>0.055</v>
      </c>
      <c r="F8" s="162"/>
      <c r="G8" s="101"/>
    </row>
    <row r="9" spans="2:8" s="95" customFormat="1" ht="15">
      <c r="B9" s="166" t="s">
        <v>64</v>
      </c>
      <c r="C9" s="111"/>
      <c r="D9" s="166"/>
      <c r="E9" s="261">
        <v>0.025</v>
      </c>
      <c r="H9" s="123"/>
    </row>
    <row r="10" spans="2:8" s="95" customFormat="1" ht="15.75">
      <c r="B10" s="13"/>
      <c r="D10" s="123"/>
      <c r="E10" s="124"/>
      <c r="H10" s="123"/>
    </row>
    <row r="11" spans="2:11" s="95" customFormat="1" ht="15">
      <c r="B11" s="13"/>
      <c r="C11" s="178" t="s">
        <v>332</v>
      </c>
      <c r="D11" s="178" t="s">
        <v>333</v>
      </c>
      <c r="E11" s="178" t="s">
        <v>334</v>
      </c>
      <c r="F11" s="178" t="s">
        <v>335</v>
      </c>
      <c r="G11" s="178" t="s">
        <v>338</v>
      </c>
      <c r="H11" s="178" t="s">
        <v>290</v>
      </c>
      <c r="I11" s="178" t="s">
        <v>291</v>
      </c>
      <c r="J11" s="178" t="s">
        <v>292</v>
      </c>
      <c r="K11" s="178" t="s">
        <v>66</v>
      </c>
    </row>
    <row r="12" spans="1:11" s="95" customFormat="1" ht="15">
      <c r="A12" s="179" t="s">
        <v>69</v>
      </c>
      <c r="B12" s="178" t="s">
        <v>339</v>
      </c>
      <c r="C12" s="178">
        <v>5</v>
      </c>
      <c r="D12" s="178">
        <v>5</v>
      </c>
      <c r="E12" s="178">
        <v>5</v>
      </c>
      <c r="F12" s="178">
        <v>5</v>
      </c>
      <c r="G12" s="309" t="s">
        <v>344</v>
      </c>
      <c r="H12" s="309"/>
      <c r="I12" s="309"/>
      <c r="J12" s="309"/>
      <c r="K12" s="178" t="s">
        <v>343</v>
      </c>
    </row>
    <row r="13" spans="1:11" s="95" customFormat="1" ht="15">
      <c r="A13" s="180">
        <v>1</v>
      </c>
      <c r="C13" s="111" t="s">
        <v>293</v>
      </c>
      <c r="D13" s="111"/>
      <c r="E13" s="111"/>
      <c r="F13" s="111"/>
      <c r="G13" s="260">
        <v>0</v>
      </c>
      <c r="H13" s="260">
        <v>0</v>
      </c>
      <c r="I13" s="260">
        <v>0</v>
      </c>
      <c r="J13" s="260">
        <v>0</v>
      </c>
      <c r="K13" s="210">
        <f>$C$12*G13+$D$12*H13+$E$12*I13+$F$12*J13</f>
        <v>0</v>
      </c>
    </row>
    <row r="14" spans="1:11" s="95" customFormat="1" ht="15">
      <c r="A14" s="180">
        <v>2</v>
      </c>
      <c r="C14" s="111" t="s">
        <v>341</v>
      </c>
      <c r="D14" s="111" t="s">
        <v>293</v>
      </c>
      <c r="E14" s="111"/>
      <c r="F14" s="111"/>
      <c r="G14" s="260">
        <v>0</v>
      </c>
      <c r="H14" s="260">
        <v>0</v>
      </c>
      <c r="I14" s="260">
        <v>0</v>
      </c>
      <c r="J14" s="260">
        <v>0</v>
      </c>
      <c r="K14" s="210">
        <f aca="true" t="shared" si="0" ref="K14:K25">$C$12*G14+$D$12*H14+$E$12*I14+$F$12*J14</f>
        <v>0</v>
      </c>
    </row>
    <row r="15" spans="1:11" s="95" customFormat="1" ht="15">
      <c r="A15" s="180">
        <v>3</v>
      </c>
      <c r="C15" s="111" t="s">
        <v>342</v>
      </c>
      <c r="D15" s="111" t="s">
        <v>341</v>
      </c>
      <c r="E15" s="111" t="s">
        <v>293</v>
      </c>
      <c r="F15" s="111"/>
      <c r="G15" s="260">
        <v>0</v>
      </c>
      <c r="H15" s="260">
        <v>0</v>
      </c>
      <c r="I15" s="260">
        <v>0</v>
      </c>
      <c r="J15" s="260">
        <v>0</v>
      </c>
      <c r="K15" s="210">
        <f t="shared" si="0"/>
        <v>0</v>
      </c>
    </row>
    <row r="16" spans="1:11" s="95" customFormat="1" ht="15">
      <c r="A16" s="180">
        <v>4</v>
      </c>
      <c r="C16" s="111" t="s">
        <v>294</v>
      </c>
      <c r="D16" s="111" t="s">
        <v>342</v>
      </c>
      <c r="E16" s="111" t="s">
        <v>341</v>
      </c>
      <c r="F16" s="111" t="s">
        <v>293</v>
      </c>
      <c r="G16" s="260">
        <v>250</v>
      </c>
      <c r="H16" s="260">
        <v>0</v>
      </c>
      <c r="I16" s="260">
        <v>0</v>
      </c>
      <c r="J16" s="260">
        <v>0</v>
      </c>
      <c r="K16" s="210">
        <f t="shared" si="0"/>
        <v>1250</v>
      </c>
    </row>
    <row r="17" spans="1:11" s="95" customFormat="1" ht="15">
      <c r="A17" s="180">
        <v>5</v>
      </c>
      <c r="C17" s="111" t="s">
        <v>295</v>
      </c>
      <c r="D17" s="111" t="s">
        <v>294</v>
      </c>
      <c r="E17" s="111" t="s">
        <v>342</v>
      </c>
      <c r="F17" s="111" t="s">
        <v>341</v>
      </c>
      <c r="G17" s="260">
        <v>650</v>
      </c>
      <c r="H17" s="260">
        <v>250</v>
      </c>
      <c r="I17" s="260">
        <v>0</v>
      </c>
      <c r="J17" s="260">
        <v>0</v>
      </c>
      <c r="K17" s="210">
        <f t="shared" si="0"/>
        <v>4500</v>
      </c>
    </row>
    <row r="18" spans="1:11" s="95" customFormat="1" ht="15">
      <c r="A18" s="180">
        <v>6</v>
      </c>
      <c r="C18" s="111" t="s">
        <v>296</v>
      </c>
      <c r="D18" s="111" t="s">
        <v>295</v>
      </c>
      <c r="E18" s="111" t="s">
        <v>294</v>
      </c>
      <c r="F18" s="111" t="s">
        <v>342</v>
      </c>
      <c r="G18" s="260">
        <v>1350</v>
      </c>
      <c r="H18" s="260">
        <v>650</v>
      </c>
      <c r="I18" s="260">
        <v>250</v>
      </c>
      <c r="J18" s="260">
        <v>0</v>
      </c>
      <c r="K18" s="210">
        <f t="shared" si="0"/>
        <v>11250</v>
      </c>
    </row>
    <row r="19" spans="1:11" s="95" customFormat="1" ht="15">
      <c r="A19" s="180">
        <v>7</v>
      </c>
      <c r="C19" s="111" t="s">
        <v>297</v>
      </c>
      <c r="D19" s="111" t="s">
        <v>296</v>
      </c>
      <c r="E19" s="111" t="s">
        <v>295</v>
      </c>
      <c r="F19" s="111" t="s">
        <v>294</v>
      </c>
      <c r="G19" s="260">
        <v>1900</v>
      </c>
      <c r="H19" s="260">
        <v>1350</v>
      </c>
      <c r="I19" s="260">
        <v>650</v>
      </c>
      <c r="J19" s="260">
        <v>250</v>
      </c>
      <c r="K19" s="210">
        <f t="shared" si="0"/>
        <v>20750</v>
      </c>
    </row>
    <row r="20" spans="1:11" s="95" customFormat="1" ht="15">
      <c r="A20" s="180">
        <v>8</v>
      </c>
      <c r="C20" s="111" t="s">
        <v>298</v>
      </c>
      <c r="D20" s="111" t="s">
        <v>297</v>
      </c>
      <c r="E20" s="111" t="s">
        <v>296</v>
      </c>
      <c r="F20" s="111" t="s">
        <v>295</v>
      </c>
      <c r="G20" s="260">
        <v>2350</v>
      </c>
      <c r="H20" s="260">
        <v>1900</v>
      </c>
      <c r="I20" s="260">
        <v>1350</v>
      </c>
      <c r="J20" s="260">
        <v>650</v>
      </c>
      <c r="K20" s="210">
        <f t="shared" si="0"/>
        <v>31250</v>
      </c>
    </row>
    <row r="21" spans="1:11" s="95" customFormat="1" ht="15">
      <c r="A21" s="180">
        <v>9</v>
      </c>
      <c r="C21" s="111" t="s">
        <v>299</v>
      </c>
      <c r="D21" s="111" t="s">
        <v>298</v>
      </c>
      <c r="E21" s="111" t="s">
        <v>297</v>
      </c>
      <c r="F21" s="111" t="s">
        <v>296</v>
      </c>
      <c r="G21" s="260">
        <v>2800</v>
      </c>
      <c r="H21" s="260">
        <v>2350</v>
      </c>
      <c r="I21" s="260">
        <v>1900</v>
      </c>
      <c r="J21" s="260">
        <v>1350</v>
      </c>
      <c r="K21" s="210">
        <f t="shared" si="0"/>
        <v>42000</v>
      </c>
    </row>
    <row r="22" spans="1:11" s="95" customFormat="1" ht="15">
      <c r="A22" s="180">
        <v>10</v>
      </c>
      <c r="C22" s="111" t="s">
        <v>300</v>
      </c>
      <c r="D22" s="111" t="s">
        <v>299</v>
      </c>
      <c r="E22" s="111" t="s">
        <v>298</v>
      </c>
      <c r="F22" s="111" t="s">
        <v>297</v>
      </c>
      <c r="G22" s="260">
        <v>2800</v>
      </c>
      <c r="H22" s="260">
        <v>2800</v>
      </c>
      <c r="I22" s="260">
        <v>2350</v>
      </c>
      <c r="J22" s="260">
        <v>1900</v>
      </c>
      <c r="K22" s="210">
        <f t="shared" si="0"/>
        <v>49250</v>
      </c>
    </row>
    <row r="23" spans="1:11" s="95" customFormat="1" ht="15">
      <c r="A23" s="180">
        <v>11</v>
      </c>
      <c r="C23" s="111" t="s">
        <v>301</v>
      </c>
      <c r="D23" s="111" t="s">
        <v>300</v>
      </c>
      <c r="E23" s="111" t="s">
        <v>299</v>
      </c>
      <c r="F23" s="111" t="s">
        <v>298</v>
      </c>
      <c r="G23" s="260">
        <v>2800</v>
      </c>
      <c r="H23" s="260">
        <v>2800</v>
      </c>
      <c r="I23" s="260">
        <v>2800</v>
      </c>
      <c r="J23" s="260">
        <v>2350</v>
      </c>
      <c r="K23" s="210">
        <f t="shared" si="0"/>
        <v>53750</v>
      </c>
    </row>
    <row r="24" spans="1:11" s="95" customFormat="1" ht="15">
      <c r="A24" s="180">
        <v>12</v>
      </c>
      <c r="C24" s="181" t="s">
        <v>340</v>
      </c>
      <c r="D24" s="111" t="s">
        <v>301</v>
      </c>
      <c r="E24" s="111" t="s">
        <v>300</v>
      </c>
      <c r="F24" s="111" t="s">
        <v>299</v>
      </c>
      <c r="G24" s="260">
        <v>0</v>
      </c>
      <c r="H24" s="260">
        <v>2800</v>
      </c>
      <c r="I24" s="260">
        <v>2800</v>
      </c>
      <c r="J24" s="260">
        <v>2800</v>
      </c>
      <c r="K24" s="210">
        <f t="shared" si="0"/>
        <v>42000</v>
      </c>
    </row>
    <row r="25" spans="1:11" s="95" customFormat="1" ht="15">
      <c r="A25" s="180">
        <v>13</v>
      </c>
      <c r="C25" s="111" t="s">
        <v>294</v>
      </c>
      <c r="D25" s="111" t="s">
        <v>302</v>
      </c>
      <c r="E25" s="111" t="s">
        <v>301</v>
      </c>
      <c r="F25" s="111" t="s">
        <v>300</v>
      </c>
      <c r="G25" s="260">
        <v>450</v>
      </c>
      <c r="H25" s="260">
        <v>2800</v>
      </c>
      <c r="I25" s="260">
        <v>2800</v>
      </c>
      <c r="J25" s="260">
        <v>2800</v>
      </c>
      <c r="K25" s="210">
        <f t="shared" si="0"/>
        <v>44250</v>
      </c>
    </row>
    <row r="26" spans="1:11" s="95" customFormat="1" ht="15">
      <c r="A26" s="180">
        <v>14</v>
      </c>
      <c r="C26" s="111" t="s">
        <v>295</v>
      </c>
      <c r="D26" s="181" t="s">
        <v>340</v>
      </c>
      <c r="E26" s="111" t="s">
        <v>302</v>
      </c>
      <c r="F26" s="111" t="s">
        <v>301</v>
      </c>
      <c r="G26" s="260">
        <v>1000</v>
      </c>
      <c r="H26" s="260">
        <v>0</v>
      </c>
      <c r="I26" s="260">
        <v>2800</v>
      </c>
      <c r="J26" s="260">
        <v>2800</v>
      </c>
      <c r="K26" s="210">
        <f>$C$12*G25+$D$12*H26+$E$12*I26+$F$12*J26</f>
        <v>30250</v>
      </c>
    </row>
    <row r="27" spans="1:11" s="95" customFormat="1" ht="15">
      <c r="A27" s="180">
        <v>15</v>
      </c>
      <c r="C27" s="111" t="s">
        <v>296</v>
      </c>
      <c r="D27" s="111" t="s">
        <v>294</v>
      </c>
      <c r="E27" s="111" t="s">
        <v>303</v>
      </c>
      <c r="F27" s="111" t="s">
        <v>302</v>
      </c>
      <c r="G27" s="260">
        <v>1900</v>
      </c>
      <c r="H27" s="260">
        <v>450</v>
      </c>
      <c r="I27" s="260">
        <v>2800</v>
      </c>
      <c r="J27" s="260">
        <v>2800</v>
      </c>
      <c r="K27" s="210">
        <f>$C$12*G26+$D$12*H27+$E$12*I27+$F$12*J27</f>
        <v>35250</v>
      </c>
    </row>
    <row r="28" spans="1:13" s="95" customFormat="1" ht="15">
      <c r="A28" s="180">
        <v>16</v>
      </c>
      <c r="C28" s="111" t="s">
        <v>297</v>
      </c>
      <c r="D28" s="111" t="s">
        <v>295</v>
      </c>
      <c r="E28" s="181" t="s">
        <v>340</v>
      </c>
      <c r="F28" s="111" t="s">
        <v>303</v>
      </c>
      <c r="G28" s="260">
        <v>2800</v>
      </c>
      <c r="H28" s="260">
        <v>1000</v>
      </c>
      <c r="I28" s="260">
        <v>0</v>
      </c>
      <c r="J28" s="260">
        <v>2800</v>
      </c>
      <c r="K28" s="210">
        <f>$C$12*G27+$D$12*H27+$E$12*I28+$F$12*J28</f>
        <v>25750</v>
      </c>
      <c r="L28" s="182"/>
      <c r="M28" s="183"/>
    </row>
    <row r="29" spans="1:11" s="95" customFormat="1" ht="15">
      <c r="A29" s="180">
        <v>17</v>
      </c>
      <c r="C29" s="111" t="s">
        <v>298</v>
      </c>
      <c r="D29" s="111" t="s">
        <v>296</v>
      </c>
      <c r="E29" s="111" t="s">
        <v>294</v>
      </c>
      <c r="F29" s="111" t="s">
        <v>304</v>
      </c>
      <c r="G29" s="260">
        <v>2800</v>
      </c>
      <c r="H29" s="260">
        <v>1900</v>
      </c>
      <c r="I29" s="260">
        <v>450</v>
      </c>
      <c r="J29" s="260">
        <v>2800</v>
      </c>
      <c r="K29" s="210">
        <f>$C$12*G28+$D$12*H28+$E$12*I29+$F$12*J29</f>
        <v>35250</v>
      </c>
    </row>
    <row r="30" spans="1:11" s="95" customFormat="1" ht="15">
      <c r="A30" s="180">
        <v>18</v>
      </c>
      <c r="C30" s="111" t="s">
        <v>299</v>
      </c>
      <c r="D30" s="111" t="s">
        <v>297</v>
      </c>
      <c r="E30" s="111" t="s">
        <v>295</v>
      </c>
      <c r="F30" s="181" t="s">
        <v>340</v>
      </c>
      <c r="G30" s="260">
        <v>2800</v>
      </c>
      <c r="H30" s="260">
        <v>2800</v>
      </c>
      <c r="I30" s="260">
        <v>1000</v>
      </c>
      <c r="J30" s="260">
        <v>0</v>
      </c>
      <c r="K30" s="210">
        <f>$C$12*G29+$D$12*H29+$E$12*I29+$F$12*J30</f>
        <v>25750</v>
      </c>
    </row>
    <row r="31" spans="1:11" s="95" customFormat="1" ht="15">
      <c r="A31" s="180">
        <v>19</v>
      </c>
      <c r="C31" s="111" t="s">
        <v>300</v>
      </c>
      <c r="D31" s="111" t="s">
        <v>298</v>
      </c>
      <c r="E31" s="111" t="s">
        <v>296</v>
      </c>
      <c r="F31" s="111" t="s">
        <v>294</v>
      </c>
      <c r="G31" s="260">
        <v>2800</v>
      </c>
      <c r="H31" s="260">
        <v>2800</v>
      </c>
      <c r="I31" s="260">
        <v>1900</v>
      </c>
      <c r="J31" s="260">
        <v>450</v>
      </c>
      <c r="K31" s="210">
        <f>$C$12*G30+$D$12*H30+$E$12*I30+$F$12*J31</f>
        <v>35250</v>
      </c>
    </row>
    <row r="32" spans="1:11" s="95" customFormat="1" ht="15">
      <c r="A32" s="180">
        <v>20</v>
      </c>
      <c r="C32" s="111" t="s">
        <v>301</v>
      </c>
      <c r="D32" s="111" t="s">
        <v>299</v>
      </c>
      <c r="E32" s="111" t="s">
        <v>297</v>
      </c>
      <c r="F32" s="111" t="s">
        <v>295</v>
      </c>
      <c r="G32" s="260">
        <v>2800</v>
      </c>
      <c r="H32" s="260">
        <v>2800</v>
      </c>
      <c r="I32" s="260">
        <v>2800</v>
      </c>
      <c r="J32" s="260">
        <v>1000</v>
      </c>
      <c r="K32" s="210">
        <f>$C$12*G31+$D$12*H31+$E$12*I31+$F$12*J31</f>
        <v>39750</v>
      </c>
    </row>
    <row r="33" spans="1:11" s="95" customFormat="1" ht="15">
      <c r="A33" s="180">
        <v>21</v>
      </c>
      <c r="C33" s="111" t="s">
        <v>302</v>
      </c>
      <c r="D33" s="111" t="s">
        <v>300</v>
      </c>
      <c r="E33" s="111" t="s">
        <v>298</v>
      </c>
      <c r="F33" s="111" t="s">
        <v>296</v>
      </c>
      <c r="G33" s="260">
        <v>2800</v>
      </c>
      <c r="H33" s="260">
        <v>2800</v>
      </c>
      <c r="I33" s="260">
        <v>2800</v>
      </c>
      <c r="J33" s="260">
        <v>1900</v>
      </c>
      <c r="K33" s="210">
        <f>$C$12*G32+$D$12*H32+$E$12*I32+$F$12*J32</f>
        <v>47000</v>
      </c>
    </row>
    <row r="34" spans="1:11" s="95" customFormat="1" ht="15">
      <c r="A34" s="180">
        <v>22</v>
      </c>
      <c r="C34" s="181" t="s">
        <v>340</v>
      </c>
      <c r="D34" s="111" t="s">
        <v>301</v>
      </c>
      <c r="F34" s="111" t="s">
        <v>297</v>
      </c>
      <c r="G34" s="260">
        <v>0</v>
      </c>
      <c r="H34" s="260">
        <v>2800</v>
      </c>
      <c r="I34" s="260">
        <v>2800</v>
      </c>
      <c r="J34" s="260">
        <v>2800</v>
      </c>
      <c r="K34" s="210">
        <f>$C$12*G34+$D$12*H33+$E$12*I33+$F$12*J33</f>
        <v>37500</v>
      </c>
    </row>
    <row r="35" spans="1:11" s="95" customFormat="1" ht="15">
      <c r="A35" s="180">
        <v>23</v>
      </c>
      <c r="C35" s="181" t="s">
        <v>346</v>
      </c>
      <c r="D35" s="111" t="s">
        <v>302</v>
      </c>
      <c r="E35" s="111" t="s">
        <v>300</v>
      </c>
      <c r="F35" s="111" t="s">
        <v>298</v>
      </c>
      <c r="G35" s="260">
        <v>0</v>
      </c>
      <c r="H35" s="260">
        <v>2800</v>
      </c>
      <c r="I35" s="260">
        <v>2800</v>
      </c>
      <c r="J35" s="260">
        <v>2800</v>
      </c>
      <c r="K35" s="210">
        <f>$C$12*G35+$D$12*H34+$E$12*I34+$F$12*J34</f>
        <v>42000</v>
      </c>
    </row>
    <row r="36" spans="1:11" s="95" customFormat="1" ht="15">
      <c r="A36" s="180">
        <v>24</v>
      </c>
      <c r="B36" s="166"/>
      <c r="C36" s="111" t="s">
        <v>294</v>
      </c>
      <c r="D36" s="181" t="s">
        <v>340</v>
      </c>
      <c r="E36" s="111" t="s">
        <v>301</v>
      </c>
      <c r="F36" s="111" t="s">
        <v>299</v>
      </c>
      <c r="G36" s="260">
        <v>450</v>
      </c>
      <c r="H36" s="260">
        <v>0</v>
      </c>
      <c r="I36" s="260">
        <v>2800</v>
      </c>
      <c r="J36" s="260">
        <v>2800</v>
      </c>
      <c r="K36" s="210">
        <f>$C$12*G36+$D$12*H35+$E$12*I35+$F$12*J35</f>
        <v>44250</v>
      </c>
    </row>
    <row r="37" spans="1:11" s="95" customFormat="1" ht="15">
      <c r="A37" s="180"/>
      <c r="B37" s="166"/>
      <c r="C37" s="111"/>
      <c r="D37" s="111"/>
      <c r="F37" s="111"/>
      <c r="G37" s="209"/>
      <c r="H37" s="209"/>
      <c r="I37" s="209"/>
      <c r="J37" s="209"/>
      <c r="K37" s="210"/>
    </row>
    <row r="38" spans="1:11" s="95" customFormat="1" ht="15">
      <c r="A38" s="180"/>
      <c r="B38" s="166"/>
      <c r="C38" s="111"/>
      <c r="D38" s="111"/>
      <c r="E38" s="111"/>
      <c r="F38" s="111"/>
      <c r="G38" s="209" t="s">
        <v>381</v>
      </c>
      <c r="H38" s="209"/>
      <c r="I38" s="209"/>
      <c r="J38" s="209"/>
      <c r="K38" s="210">
        <f>SUM(K16:K32)</f>
        <v>527500</v>
      </c>
    </row>
    <row r="39" spans="1:11" s="95" customFormat="1" ht="15">
      <c r="A39" s="180"/>
      <c r="B39" s="166"/>
      <c r="C39" s="111"/>
      <c r="D39" s="111"/>
      <c r="E39" s="111"/>
      <c r="F39" s="111"/>
      <c r="G39" s="209" t="s">
        <v>382</v>
      </c>
      <c r="H39" s="211"/>
      <c r="I39" s="209"/>
      <c r="J39" s="209"/>
      <c r="K39" s="210">
        <f>(ROUND(K38/COUNTA(K16:K32),2))/E2</f>
        <v>1551.4705</v>
      </c>
    </row>
    <row r="40" spans="1:11" s="95" customFormat="1" ht="15">
      <c r="A40" s="180"/>
      <c r="B40" s="166"/>
      <c r="C40" s="111"/>
      <c r="D40" s="111"/>
      <c r="E40" s="111"/>
      <c r="F40" s="111"/>
      <c r="G40" s="184"/>
      <c r="H40" s="166"/>
      <c r="I40" s="111"/>
      <c r="J40" s="111"/>
      <c r="K40" s="111"/>
    </row>
    <row r="41" spans="1:11" s="95" customFormat="1" ht="15">
      <c r="A41" s="111"/>
      <c r="B41" s="185" t="s">
        <v>21</v>
      </c>
      <c r="C41" s="186" t="s">
        <v>73</v>
      </c>
      <c r="D41" s="186" t="s">
        <v>85</v>
      </c>
      <c r="E41" s="186" t="s">
        <v>166</v>
      </c>
      <c r="F41" s="187" t="s">
        <v>19</v>
      </c>
      <c r="G41" s="187" t="s">
        <v>20</v>
      </c>
      <c r="H41" s="111"/>
      <c r="I41" s="111"/>
      <c r="J41" s="111"/>
      <c r="K41" s="111"/>
    </row>
    <row r="42" spans="1:11" s="95" customFormat="1" ht="15">
      <c r="A42" s="111"/>
      <c r="B42" s="188"/>
      <c r="C42" s="189" t="s">
        <v>23</v>
      </c>
      <c r="D42" s="189" t="s">
        <v>180</v>
      </c>
      <c r="E42" s="179" t="s">
        <v>180</v>
      </c>
      <c r="F42" s="190" t="s">
        <v>22</v>
      </c>
      <c r="G42" s="190" t="s">
        <v>23</v>
      </c>
      <c r="H42" s="111"/>
      <c r="I42" s="111"/>
      <c r="J42" s="111"/>
      <c r="K42" s="111"/>
    </row>
    <row r="43" spans="1:11" s="95" customFormat="1" ht="15">
      <c r="A43" s="191" t="s">
        <v>103</v>
      </c>
      <c r="B43" s="111"/>
      <c r="C43" s="189"/>
      <c r="D43" s="192"/>
      <c r="E43" s="193"/>
      <c r="F43" s="179"/>
      <c r="G43" s="111"/>
      <c r="H43" s="111"/>
      <c r="I43" s="111"/>
      <c r="J43" s="111"/>
      <c r="K43" s="111"/>
    </row>
    <row r="44" spans="1:11" s="95" customFormat="1" ht="15">
      <c r="A44" s="191"/>
      <c r="B44" s="166" t="s">
        <v>366</v>
      </c>
      <c r="C44" s="212">
        <f>5*2500</f>
        <v>12500</v>
      </c>
      <c r="D44" s="263">
        <v>1</v>
      </c>
      <c r="E44" s="213">
        <f>C44*D44</f>
        <v>12500</v>
      </c>
      <c r="F44" s="214"/>
      <c r="G44" s="215"/>
      <c r="H44" s="111"/>
      <c r="I44" s="111"/>
      <c r="J44" s="111"/>
      <c r="K44" s="111"/>
    </row>
    <row r="45" spans="1:11" s="95" customFormat="1" ht="15">
      <c r="A45" s="111"/>
      <c r="B45" s="166" t="s">
        <v>104</v>
      </c>
      <c r="C45" s="212">
        <f>E2*E3</f>
        <v>48000</v>
      </c>
      <c r="D45" s="263">
        <v>1</v>
      </c>
      <c r="E45" s="213">
        <f>C45*D45</f>
        <v>48000</v>
      </c>
      <c r="F45" s="214"/>
      <c r="G45" s="216"/>
      <c r="H45" s="111"/>
      <c r="I45" s="111"/>
      <c r="J45" s="111"/>
      <c r="K45" s="111"/>
    </row>
    <row r="46" spans="1:11" s="95" customFormat="1" ht="15">
      <c r="A46" s="191" t="s">
        <v>25</v>
      </c>
      <c r="B46" s="111"/>
      <c r="C46" s="217"/>
      <c r="D46" s="217"/>
      <c r="E46" s="213"/>
      <c r="F46" s="214"/>
      <c r="G46" s="216"/>
      <c r="H46" s="111"/>
      <c r="I46" s="111"/>
      <c r="J46" s="111"/>
      <c r="K46" s="111"/>
    </row>
    <row r="47" spans="1:11" s="95" customFormat="1" ht="15">
      <c r="A47" s="111"/>
      <c r="B47" s="166" t="s">
        <v>260</v>
      </c>
      <c r="C47" s="264">
        <v>20000</v>
      </c>
      <c r="D47" s="263">
        <v>1</v>
      </c>
      <c r="E47" s="213">
        <f aca="true" t="shared" si="1" ref="E47:E53">C47*D47</f>
        <v>20000</v>
      </c>
      <c r="F47" s="266">
        <v>15</v>
      </c>
      <c r="G47" s="263">
        <v>0.1</v>
      </c>
      <c r="H47" s="111"/>
      <c r="I47" s="111"/>
      <c r="J47" s="111"/>
      <c r="K47" s="111"/>
    </row>
    <row r="48" spans="1:11" s="95" customFormat="1" ht="15">
      <c r="A48" s="111"/>
      <c r="B48" s="166" t="s">
        <v>182</v>
      </c>
      <c r="C48" s="264">
        <v>0</v>
      </c>
      <c r="D48" s="263">
        <v>1</v>
      </c>
      <c r="E48" s="213">
        <f t="shared" si="1"/>
        <v>0</v>
      </c>
      <c r="F48" s="266">
        <v>15</v>
      </c>
      <c r="G48" s="263">
        <v>0.1</v>
      </c>
      <c r="H48" s="111"/>
      <c r="I48" s="111"/>
      <c r="J48" s="111"/>
      <c r="K48" s="111"/>
    </row>
    <row r="49" spans="1:11" s="95" customFormat="1" ht="15">
      <c r="A49" s="111"/>
      <c r="B49" s="111" t="s">
        <v>261</v>
      </c>
      <c r="C49" s="264">
        <v>5000</v>
      </c>
      <c r="D49" s="263">
        <v>1</v>
      </c>
      <c r="E49" s="213">
        <f t="shared" si="1"/>
        <v>5000</v>
      </c>
      <c r="F49" s="266">
        <v>15</v>
      </c>
      <c r="G49" s="263">
        <v>0.1</v>
      </c>
      <c r="H49" s="111"/>
      <c r="I49" s="111"/>
      <c r="J49" s="111"/>
      <c r="K49" s="111"/>
    </row>
    <row r="50" spans="1:11" s="95" customFormat="1" ht="15">
      <c r="A50" s="111"/>
      <c r="B50" s="166" t="s">
        <v>221</v>
      </c>
      <c r="C50" s="264">
        <v>2500</v>
      </c>
      <c r="D50" s="263">
        <v>1</v>
      </c>
      <c r="E50" s="213">
        <f t="shared" si="1"/>
        <v>2500</v>
      </c>
      <c r="F50" s="266">
        <v>15</v>
      </c>
      <c r="G50" s="263">
        <v>0.1</v>
      </c>
      <c r="H50" s="111"/>
      <c r="I50" s="111"/>
      <c r="J50" s="111"/>
      <c r="K50" s="111"/>
    </row>
    <row r="51" spans="1:11" s="95" customFormat="1" ht="15">
      <c r="A51" s="111"/>
      <c r="B51" s="166" t="s">
        <v>158</v>
      </c>
      <c r="C51" s="264">
        <v>0</v>
      </c>
      <c r="D51" s="263">
        <v>0.9</v>
      </c>
      <c r="E51" s="213">
        <f t="shared" si="1"/>
        <v>0</v>
      </c>
      <c r="F51" s="266">
        <v>15</v>
      </c>
      <c r="G51" s="263">
        <v>0.1</v>
      </c>
      <c r="H51" s="111"/>
      <c r="I51" s="111"/>
      <c r="J51" s="111"/>
      <c r="K51" s="111"/>
    </row>
    <row r="52" spans="1:11" s="95" customFormat="1" ht="15">
      <c r="A52" s="111"/>
      <c r="B52" s="111" t="s">
        <v>191</v>
      </c>
      <c r="C52" s="264">
        <v>30000</v>
      </c>
      <c r="D52" s="263">
        <v>1</v>
      </c>
      <c r="E52" s="213">
        <f t="shared" si="1"/>
        <v>30000</v>
      </c>
      <c r="F52" s="266">
        <v>15</v>
      </c>
      <c r="G52" s="263">
        <v>0.1</v>
      </c>
      <c r="H52" s="111"/>
      <c r="I52" s="111"/>
      <c r="J52" s="111"/>
      <c r="K52" s="111"/>
    </row>
    <row r="53" spans="1:11" s="95" customFormat="1" ht="15">
      <c r="A53" s="111"/>
      <c r="B53" s="111" t="s">
        <v>185</v>
      </c>
      <c r="C53" s="265">
        <v>2000</v>
      </c>
      <c r="D53" s="263">
        <v>1</v>
      </c>
      <c r="E53" s="218">
        <f t="shared" si="1"/>
        <v>2000</v>
      </c>
      <c r="F53" s="267">
        <v>15</v>
      </c>
      <c r="G53" s="268">
        <v>0.1</v>
      </c>
      <c r="H53" s="111"/>
      <c r="I53" s="111"/>
      <c r="J53" s="111"/>
      <c r="K53" s="111"/>
    </row>
    <row r="54" spans="1:11" s="95" customFormat="1" ht="15">
      <c r="A54" s="111"/>
      <c r="B54" s="111" t="s">
        <v>66</v>
      </c>
      <c r="C54" s="219">
        <f>SUM(C47:C53)</f>
        <v>59500</v>
      </c>
      <c r="D54" s="216"/>
      <c r="E54" s="213">
        <f>SUM(E47:E53)</f>
        <v>59500</v>
      </c>
      <c r="F54" s="220">
        <f>SUM(F49:F53)/COUNT(F49:F53)</f>
        <v>15</v>
      </c>
      <c r="G54" s="221">
        <f>SUM(G49:G53)/COUNT(G49:G53)</f>
        <v>0.1</v>
      </c>
      <c r="H54" s="111"/>
      <c r="I54" s="111"/>
      <c r="J54" s="111"/>
      <c r="K54" s="111"/>
    </row>
    <row r="55" spans="1:11" s="95" customFormat="1" ht="15">
      <c r="A55" s="192" t="s">
        <v>165</v>
      </c>
      <c r="B55" s="111"/>
      <c r="C55" s="216"/>
      <c r="D55" s="216"/>
      <c r="E55" s="216"/>
      <c r="F55" s="216"/>
      <c r="G55" s="216"/>
      <c r="H55" s="111"/>
      <c r="I55" s="111"/>
      <c r="J55" s="111"/>
      <c r="K55" s="111"/>
    </row>
    <row r="56" spans="1:11" s="95" customFormat="1" ht="15">
      <c r="A56" s="111"/>
      <c r="B56" s="111" t="s">
        <v>74</v>
      </c>
      <c r="C56" s="264">
        <v>20000</v>
      </c>
      <c r="D56" s="263">
        <v>1</v>
      </c>
      <c r="E56" s="213">
        <f>C56*D56</f>
        <v>20000</v>
      </c>
      <c r="F56" s="271">
        <v>15</v>
      </c>
      <c r="G56" s="263">
        <v>0.1</v>
      </c>
      <c r="H56" s="111"/>
      <c r="I56" s="111"/>
      <c r="J56" s="111"/>
      <c r="K56" s="111"/>
    </row>
    <row r="57" spans="1:11" s="95" customFormat="1" ht="15">
      <c r="A57" s="111"/>
      <c r="B57" s="111" t="s">
        <v>183</v>
      </c>
      <c r="C57" s="269">
        <v>25000</v>
      </c>
      <c r="D57" s="263">
        <v>1</v>
      </c>
      <c r="E57" s="213">
        <f>C57*D57</f>
        <v>25000</v>
      </c>
      <c r="F57" s="272">
        <v>15</v>
      </c>
      <c r="G57" s="263">
        <v>0.1</v>
      </c>
      <c r="H57" s="111"/>
      <c r="I57" s="111"/>
      <c r="J57" s="111"/>
      <c r="K57" s="111"/>
    </row>
    <row r="58" spans="1:11" s="95" customFormat="1" ht="15">
      <c r="A58" s="111"/>
      <c r="B58" s="111" t="s">
        <v>184</v>
      </c>
      <c r="C58" s="269">
        <v>15000</v>
      </c>
      <c r="D58" s="263">
        <v>1</v>
      </c>
      <c r="E58" s="213">
        <f>C58*D58</f>
        <v>15000</v>
      </c>
      <c r="F58" s="272">
        <v>15</v>
      </c>
      <c r="G58" s="263">
        <v>0.1</v>
      </c>
      <c r="H58" s="111"/>
      <c r="I58" s="111"/>
      <c r="J58" s="111"/>
      <c r="K58" s="111"/>
    </row>
    <row r="59" spans="1:11" s="95" customFormat="1" ht="15">
      <c r="A59" s="111"/>
      <c r="B59" s="111" t="s">
        <v>186</v>
      </c>
      <c r="C59" s="269">
        <v>12000</v>
      </c>
      <c r="D59" s="263">
        <v>1</v>
      </c>
      <c r="E59" s="213">
        <f>C59*D59</f>
        <v>12000</v>
      </c>
      <c r="F59" s="272">
        <v>15</v>
      </c>
      <c r="G59" s="263">
        <v>0.1</v>
      </c>
      <c r="H59" s="111"/>
      <c r="I59" s="111"/>
      <c r="J59" s="111"/>
      <c r="K59" s="111"/>
    </row>
    <row r="60" spans="1:11" s="95" customFormat="1" ht="15">
      <c r="A60" s="111"/>
      <c r="B60" s="111" t="s">
        <v>96</v>
      </c>
      <c r="C60" s="270">
        <v>27000</v>
      </c>
      <c r="D60" s="268">
        <v>1</v>
      </c>
      <c r="E60" s="218">
        <f>C60*D60</f>
        <v>27000</v>
      </c>
      <c r="F60" s="273">
        <v>15</v>
      </c>
      <c r="G60" s="268">
        <v>0.1</v>
      </c>
      <c r="H60" s="111"/>
      <c r="I60" s="111"/>
      <c r="J60" s="111"/>
      <c r="K60" s="111"/>
    </row>
    <row r="61" spans="1:11" s="95" customFormat="1" ht="15">
      <c r="A61" s="111"/>
      <c r="B61" s="111" t="s">
        <v>66</v>
      </c>
      <c r="C61" s="219">
        <f>SUM(C56:C60)</f>
        <v>99000</v>
      </c>
      <c r="D61" s="220"/>
      <c r="E61" s="212">
        <f>SUM(E56:E60)</f>
        <v>99000</v>
      </c>
      <c r="F61" s="220">
        <f>SUM(F56:F60)/COUNT(F56:F60)</f>
        <v>15</v>
      </c>
      <c r="G61" s="221">
        <f>SUM(G56:G60)/COUNT(G56:G60)</f>
        <v>0.1</v>
      </c>
      <c r="H61" s="111"/>
      <c r="I61" s="111"/>
      <c r="J61" s="111"/>
      <c r="K61" s="111"/>
    </row>
    <row r="62" spans="1:11" s="95" customFormat="1" ht="15">
      <c r="A62" s="195" t="s">
        <v>105</v>
      </c>
      <c r="B62" s="111"/>
      <c r="C62" s="194">
        <f>C44+C45+C54+C61</f>
        <v>219000</v>
      </c>
      <c r="D62" s="196"/>
      <c r="E62" s="194">
        <f>E45+E54+E61</f>
        <v>206500</v>
      </c>
      <c r="F62" s="178"/>
      <c r="G62" s="178"/>
      <c r="H62" s="111"/>
      <c r="I62" s="111"/>
      <c r="J62" s="111"/>
      <c r="K62" s="111"/>
    </row>
    <row r="63" spans="1:11" s="95" customFormat="1" ht="15">
      <c r="A63" s="195" t="s">
        <v>167</v>
      </c>
      <c r="B63" s="111"/>
      <c r="C63" s="188" t="s">
        <v>356</v>
      </c>
      <c r="D63" s="193">
        <f>SUM(E44:E45)/E2</f>
        <v>3025</v>
      </c>
      <c r="E63" s="111" t="s">
        <v>68</v>
      </c>
      <c r="F63" s="111"/>
      <c r="G63" s="197"/>
      <c r="H63" s="111"/>
      <c r="I63" s="111"/>
      <c r="J63" s="111"/>
      <c r="K63" s="111"/>
    </row>
    <row r="64" spans="1:11" s="95" customFormat="1" ht="15">
      <c r="A64" s="111"/>
      <c r="B64" s="188"/>
      <c r="C64" s="188" t="s">
        <v>140</v>
      </c>
      <c r="D64" s="193">
        <f>E54/E2</f>
        <v>2975</v>
      </c>
      <c r="E64" s="198" t="s">
        <v>68</v>
      </c>
      <c r="F64" s="111"/>
      <c r="G64" s="197"/>
      <c r="H64" s="111"/>
      <c r="I64" s="111"/>
      <c r="J64" s="111"/>
      <c r="K64" s="111"/>
    </row>
    <row r="65" spans="1:11" s="95" customFormat="1" ht="15">
      <c r="A65" s="111"/>
      <c r="B65" s="195"/>
      <c r="C65" s="188" t="s">
        <v>141</v>
      </c>
      <c r="D65" s="199">
        <f>E61/E2</f>
        <v>4950</v>
      </c>
      <c r="E65" s="198" t="s">
        <v>68</v>
      </c>
      <c r="F65" s="111"/>
      <c r="G65" s="111"/>
      <c r="H65" s="111"/>
      <c r="I65" s="111"/>
      <c r="J65" s="111"/>
      <c r="K65" s="111"/>
    </row>
    <row r="66" spans="1:11" s="95" customFormat="1" ht="15">
      <c r="A66" s="111"/>
      <c r="B66" s="111"/>
      <c r="C66" s="195" t="s">
        <v>66</v>
      </c>
      <c r="D66" s="200">
        <f>E62/E2</f>
        <v>10325</v>
      </c>
      <c r="E66" s="198" t="s">
        <v>68</v>
      </c>
      <c r="F66" s="111"/>
      <c r="G66" s="111"/>
      <c r="H66" s="111"/>
      <c r="I66" s="111"/>
      <c r="J66" s="111"/>
      <c r="K66" s="111"/>
    </row>
    <row r="67" spans="1:11" s="95" customFormat="1" ht="15">
      <c r="A67" s="111"/>
      <c r="B67" s="111" t="s">
        <v>336</v>
      </c>
      <c r="C67" s="111"/>
      <c r="D67" s="111"/>
      <c r="E67" s="111"/>
      <c r="F67" s="111"/>
      <c r="G67" s="111"/>
      <c r="H67" s="111"/>
      <c r="I67" s="111"/>
      <c r="J67" s="111"/>
      <c r="K67" s="111"/>
    </row>
    <row r="68" spans="1:11" s="95" customFormat="1" ht="15">
      <c r="A68" s="111"/>
      <c r="B68" s="111" t="s">
        <v>337</v>
      </c>
      <c r="C68" s="111"/>
      <c r="D68" s="111"/>
      <c r="E68" s="111"/>
      <c r="F68" s="111"/>
      <c r="G68" s="111"/>
      <c r="H68" s="111"/>
      <c r="I68" s="111"/>
      <c r="J68" s="111"/>
      <c r="K68" s="111"/>
    </row>
    <row r="69" spans="1:11" ht="15">
      <c r="A69" s="104"/>
      <c r="B69" s="104"/>
      <c r="C69" s="104"/>
      <c r="D69" s="104"/>
      <c r="E69" s="104"/>
      <c r="F69" s="104"/>
      <c r="G69" s="104"/>
      <c r="H69" s="104"/>
      <c r="I69" s="104"/>
      <c r="J69" s="104"/>
      <c r="K69" s="104"/>
    </row>
    <row r="70" spans="1:11" ht="15">
      <c r="A70" s="104"/>
      <c r="B70" s="104"/>
      <c r="C70" s="104"/>
      <c r="D70" s="104"/>
      <c r="E70" s="104"/>
      <c r="F70" s="104"/>
      <c r="G70" s="104"/>
      <c r="H70" s="104"/>
      <c r="I70" s="104"/>
      <c r="J70" s="104"/>
      <c r="K70" s="104"/>
    </row>
    <row r="71" spans="1:11" ht="15">
      <c r="A71" s="104"/>
      <c r="B71" s="104"/>
      <c r="C71" s="104"/>
      <c r="D71" s="104"/>
      <c r="E71" s="104"/>
      <c r="F71" s="104"/>
      <c r="G71" s="104"/>
      <c r="H71" s="104"/>
      <c r="I71" s="104"/>
      <c r="J71" s="104"/>
      <c r="K71" s="104"/>
    </row>
    <row r="72" spans="1:11" ht="15">
      <c r="A72" s="104"/>
      <c r="B72" s="104"/>
      <c r="C72" s="104"/>
      <c r="D72" s="104"/>
      <c r="E72" s="104"/>
      <c r="F72" s="104"/>
      <c r="G72" s="104"/>
      <c r="H72" s="104"/>
      <c r="I72" s="104"/>
      <c r="J72" s="104"/>
      <c r="K72" s="104"/>
    </row>
    <row r="73" spans="1:11" ht="15">
      <c r="A73" s="104"/>
      <c r="B73" s="104"/>
      <c r="C73" s="104"/>
      <c r="D73" s="104"/>
      <c r="E73" s="104"/>
      <c r="F73" s="104"/>
      <c r="G73" s="104"/>
      <c r="H73" s="104"/>
      <c r="I73" s="104"/>
      <c r="J73" s="104"/>
      <c r="K73" s="104"/>
    </row>
    <row r="74" spans="1:11" ht="15">
      <c r="A74" s="104"/>
      <c r="B74" s="104"/>
      <c r="C74" s="104"/>
      <c r="D74" s="104"/>
      <c r="E74" s="104"/>
      <c r="F74" s="104"/>
      <c r="G74" s="104"/>
      <c r="H74" s="104"/>
      <c r="I74" s="104"/>
      <c r="J74" s="104"/>
      <c r="K74" s="104"/>
    </row>
    <row r="75" spans="1:11" ht="15">
      <c r="A75" s="104"/>
      <c r="B75" s="104"/>
      <c r="C75" s="104"/>
      <c r="D75" s="104"/>
      <c r="E75" s="104"/>
      <c r="F75" s="104"/>
      <c r="G75" s="104"/>
      <c r="H75" s="104"/>
      <c r="I75" s="104"/>
      <c r="J75" s="104"/>
      <c r="K75" s="104"/>
    </row>
    <row r="76" spans="1:11" ht="15">
      <c r="A76" s="104"/>
      <c r="B76" s="104"/>
      <c r="C76" s="104"/>
      <c r="D76" s="104"/>
      <c r="E76" s="104"/>
      <c r="F76" s="104"/>
      <c r="G76" s="104"/>
      <c r="H76" s="104"/>
      <c r="I76" s="104"/>
      <c r="J76" s="104"/>
      <c r="K76" s="104"/>
    </row>
  </sheetData>
  <sheetProtection password="C6A6" sheet="1"/>
  <mergeCells count="2">
    <mergeCell ref="B1:F1"/>
    <mergeCell ref="G12:J12"/>
  </mergeCells>
  <printOptions horizontalCentered="1" verticalCentered="1"/>
  <pageMargins left="0.7480314960629921" right="0.7480314960629921" top="0.6692913385826772" bottom="0.5118110236220472" header="0.5118110236220472" footer="0.5118110236220472"/>
  <pageSetup firstPageNumber="3" useFirstPageNumber="1" fitToHeight="1" fitToWidth="1" horizontalDpi="300" verticalDpi="300" orientation="portrait" scale="62" r:id="rId1"/>
  <headerFooter alignWithMargins="0">
    <oddHeader>&amp;L&amp;11Guidelines: Saskatoon Production Costs&amp;R&amp;11&amp;P</oddHeader>
    <oddFooter>&amp;R&amp;"Arial,Italic"&amp;11MAFRI, GO Team Branch and Crops Knowledge Centre</oddFooter>
  </headerFooter>
</worksheet>
</file>

<file path=xl/worksheets/sheet4.xml><?xml version="1.0" encoding="utf-8"?>
<worksheet xmlns="http://schemas.openxmlformats.org/spreadsheetml/2006/main" xmlns:r="http://schemas.openxmlformats.org/officeDocument/2006/relationships">
  <sheetPr codeName="Sheet5"/>
  <dimension ref="B1:J80"/>
  <sheetViews>
    <sheetView zoomScaleSheetLayoutView="75" workbookViewId="0" topLeftCell="A1">
      <selection activeCell="B54" sqref="B54:G54"/>
    </sheetView>
  </sheetViews>
  <sheetFormatPr defaultColWidth="8.88671875" defaultRowHeight="15"/>
  <cols>
    <col min="1" max="1" width="2.88671875" style="0" customWidth="1"/>
    <col min="2" max="2" width="20.6640625" style="0" customWidth="1"/>
    <col min="3" max="3" width="8.4453125" style="0" customWidth="1"/>
    <col min="4" max="4" width="9.77734375" style="0" customWidth="1"/>
    <col min="5" max="5" width="11.4453125" style="0" customWidth="1"/>
    <col min="6" max="6" width="9.77734375" style="0" customWidth="1"/>
    <col min="7" max="7" width="17.4453125" style="0" customWidth="1"/>
  </cols>
  <sheetData>
    <row r="1" ht="15">
      <c r="G1" s="72"/>
    </row>
    <row r="2" spans="2:10" ht="19.5" customHeight="1">
      <c r="B2" s="310" t="s">
        <v>181</v>
      </c>
      <c r="C2" s="310"/>
      <c r="D2" s="310"/>
      <c r="E2" s="310"/>
      <c r="F2" s="310"/>
      <c r="G2" s="310"/>
      <c r="H2" s="205"/>
      <c r="I2" s="205"/>
      <c r="J2" s="205"/>
    </row>
    <row r="3" spans="2:10" ht="15.75" customHeight="1">
      <c r="B3" s="311" t="s">
        <v>387</v>
      </c>
      <c r="C3" s="311"/>
      <c r="D3" s="311"/>
      <c r="E3" s="311"/>
      <c r="F3" s="311"/>
      <c r="G3" s="311"/>
      <c r="H3" s="171"/>
      <c r="I3" s="171"/>
      <c r="J3" s="2"/>
    </row>
    <row r="4" spans="2:10" ht="15.75" customHeight="1">
      <c r="B4" s="172"/>
      <c r="C4" s="172"/>
      <c r="D4" s="172"/>
      <c r="E4" s="172"/>
      <c r="F4" s="172"/>
      <c r="G4" s="172"/>
      <c r="H4" s="171"/>
      <c r="I4" s="171"/>
      <c r="J4" s="2"/>
    </row>
    <row r="5" ht="15.75">
      <c r="B5" s="48" t="s">
        <v>321</v>
      </c>
    </row>
    <row r="6" spans="2:7" ht="15.75">
      <c r="B6" s="12" t="s">
        <v>262</v>
      </c>
      <c r="C6" s="223"/>
      <c r="D6" s="223"/>
      <c r="E6" s="224"/>
      <c r="F6" s="224"/>
      <c r="G6" s="222"/>
    </row>
    <row r="7" spans="2:7" ht="15.75">
      <c r="B7" s="5" t="s">
        <v>308</v>
      </c>
      <c r="C7" s="222"/>
      <c r="D7" s="222"/>
      <c r="E7" s="222"/>
      <c r="F7" s="283">
        <v>880</v>
      </c>
      <c r="G7" s="222" t="s">
        <v>159</v>
      </c>
    </row>
    <row r="8" spans="2:8" ht="15.75">
      <c r="B8" s="5" t="s">
        <v>307</v>
      </c>
      <c r="C8" s="222"/>
      <c r="D8" s="222"/>
      <c r="E8" s="222"/>
      <c r="F8" s="282">
        <v>2</v>
      </c>
      <c r="G8" s="222" t="s">
        <v>188</v>
      </c>
      <c r="H8" s="119"/>
    </row>
    <row r="9" spans="2:8" ht="15.75">
      <c r="B9" s="5" t="s">
        <v>323</v>
      </c>
      <c r="C9" s="222"/>
      <c r="D9" s="222"/>
      <c r="E9" s="222"/>
      <c r="F9" s="282">
        <v>110</v>
      </c>
      <c r="G9" s="222" t="s">
        <v>82</v>
      </c>
      <c r="H9" s="99" t="s">
        <v>322</v>
      </c>
    </row>
    <row r="10" spans="2:8" ht="15.75">
      <c r="B10" s="5" t="s">
        <v>327</v>
      </c>
      <c r="C10" s="222"/>
      <c r="D10" s="222"/>
      <c r="E10" s="222"/>
      <c r="F10" s="284">
        <v>40</v>
      </c>
      <c r="G10" s="222" t="s">
        <v>326</v>
      </c>
      <c r="H10" s="99"/>
    </row>
    <row r="11" spans="2:8" ht="15.75">
      <c r="B11" s="5" t="s">
        <v>329</v>
      </c>
      <c r="C11" s="222"/>
      <c r="D11" s="222"/>
      <c r="E11" s="222"/>
      <c r="F11" s="285">
        <v>2.75</v>
      </c>
      <c r="G11" s="222" t="s">
        <v>328</v>
      </c>
      <c r="H11" s="99"/>
    </row>
    <row r="12" spans="3:7" ht="15">
      <c r="C12" s="222"/>
      <c r="D12" s="222"/>
      <c r="E12" s="222"/>
      <c r="F12" s="222"/>
      <c r="G12" s="222"/>
    </row>
    <row r="13" spans="2:7" ht="15.75">
      <c r="B13" s="48" t="s">
        <v>3</v>
      </c>
      <c r="C13" s="222"/>
      <c r="D13" s="222"/>
      <c r="E13" s="222"/>
      <c r="F13" s="222"/>
      <c r="G13" s="222"/>
    </row>
    <row r="14" spans="2:7" ht="15.75">
      <c r="B14" s="20"/>
      <c r="C14" s="224" t="s">
        <v>199</v>
      </c>
      <c r="D14" s="224" t="s">
        <v>200</v>
      </c>
      <c r="E14" s="224" t="s">
        <v>201</v>
      </c>
      <c r="F14" s="224" t="s">
        <v>202</v>
      </c>
      <c r="G14" s="224"/>
    </row>
    <row r="15" spans="2:7" ht="15.75">
      <c r="B15" s="76"/>
      <c r="C15" s="314" t="s">
        <v>119</v>
      </c>
      <c r="D15" s="315"/>
      <c r="E15" s="315"/>
      <c r="F15" s="316"/>
      <c r="G15" s="211"/>
    </row>
    <row r="16" spans="2:7" ht="15.75">
      <c r="B16" s="2" t="s">
        <v>266</v>
      </c>
      <c r="C16" s="279">
        <v>25</v>
      </c>
      <c r="D16" s="279">
        <v>25</v>
      </c>
      <c r="E16" s="279">
        <v>25</v>
      </c>
      <c r="F16" s="279">
        <v>25</v>
      </c>
      <c r="G16" s="226"/>
    </row>
    <row r="17" spans="3:7" ht="15">
      <c r="C17" s="222"/>
      <c r="D17" s="222"/>
      <c r="E17" s="222"/>
      <c r="F17" s="222"/>
      <c r="G17" s="222"/>
    </row>
    <row r="18" spans="2:7" ht="15.75">
      <c r="B18" s="2" t="s">
        <v>83</v>
      </c>
      <c r="C18" s="227"/>
      <c r="D18" s="277">
        <v>0</v>
      </c>
      <c r="E18" s="229" t="s">
        <v>68</v>
      </c>
      <c r="F18" s="227"/>
      <c r="G18" s="227"/>
    </row>
    <row r="19" spans="3:7" ht="15">
      <c r="C19" s="222"/>
      <c r="D19" s="222"/>
      <c r="E19" s="222"/>
      <c r="F19" s="222"/>
      <c r="G19" s="222"/>
    </row>
    <row r="20" spans="2:7" ht="15.75">
      <c r="B20" s="77" t="s">
        <v>92</v>
      </c>
      <c r="C20" s="224" t="s">
        <v>199</v>
      </c>
      <c r="D20" s="224" t="s">
        <v>200</v>
      </c>
      <c r="E20" s="224" t="s">
        <v>201</v>
      </c>
      <c r="F20" s="224" t="s">
        <v>202</v>
      </c>
      <c r="G20" s="222"/>
    </row>
    <row r="21" spans="3:7" ht="15.75">
      <c r="C21" s="224"/>
      <c r="D21" s="224"/>
      <c r="E21" s="230"/>
      <c r="F21" s="222"/>
      <c r="G21" s="222"/>
    </row>
    <row r="22" spans="3:7" ht="15" customHeight="1">
      <c r="C22" s="314" t="s">
        <v>119</v>
      </c>
      <c r="D22" s="315"/>
      <c r="E22" s="315"/>
      <c r="F22" s="316"/>
      <c r="G22" s="222"/>
    </row>
    <row r="23" spans="2:8" ht="15.75">
      <c r="B23" s="125" t="s">
        <v>267</v>
      </c>
      <c r="C23" s="281">
        <v>10</v>
      </c>
      <c r="D23" s="279">
        <v>6</v>
      </c>
      <c r="E23" s="286">
        <v>6</v>
      </c>
      <c r="F23" s="286">
        <v>6</v>
      </c>
      <c r="G23" s="222"/>
      <c r="H23" s="222" t="s">
        <v>268</v>
      </c>
    </row>
    <row r="24" spans="2:7" ht="15.75">
      <c r="B24" s="2"/>
      <c r="C24" s="232"/>
      <c r="D24" s="232"/>
      <c r="E24" s="232"/>
      <c r="F24" s="211"/>
      <c r="G24" s="222"/>
    </row>
    <row r="25" spans="2:7" ht="15.75">
      <c r="B25" s="48" t="s">
        <v>93</v>
      </c>
      <c r="C25" s="222"/>
      <c r="D25" s="222"/>
      <c r="E25" s="222"/>
      <c r="F25" s="222"/>
      <c r="G25" s="222"/>
    </row>
    <row r="26" spans="2:7" ht="15.75">
      <c r="B26" s="48"/>
      <c r="C26" s="224" t="s">
        <v>199</v>
      </c>
      <c r="D26" s="224" t="s">
        <v>200</v>
      </c>
      <c r="E26" s="224" t="s">
        <v>201</v>
      </c>
      <c r="F26" s="224" t="s">
        <v>202</v>
      </c>
      <c r="G26" s="222"/>
    </row>
    <row r="27" spans="2:7" ht="15.75" customHeight="1">
      <c r="B27" s="48"/>
      <c r="C27" s="314" t="s">
        <v>119</v>
      </c>
      <c r="D27" s="315"/>
      <c r="E27" s="315"/>
      <c r="F27" s="316"/>
      <c r="G27" s="222"/>
    </row>
    <row r="28" spans="2:8" ht="15.75">
      <c r="B28" s="125" t="s">
        <v>267</v>
      </c>
      <c r="C28" s="286">
        <v>0</v>
      </c>
      <c r="D28" s="286">
        <v>45</v>
      </c>
      <c r="E28" s="286">
        <v>45</v>
      </c>
      <c r="F28" s="287">
        <v>0</v>
      </c>
      <c r="G28" s="222"/>
      <c r="H28" t="s">
        <v>309</v>
      </c>
    </row>
    <row r="29" spans="2:7" ht="15.75">
      <c r="B29" s="2"/>
      <c r="C29" s="232"/>
      <c r="D29" s="232"/>
      <c r="E29" s="232"/>
      <c r="F29" s="211"/>
      <c r="G29" s="222"/>
    </row>
    <row r="30" spans="2:7" ht="15.75">
      <c r="B30" s="48" t="s">
        <v>94</v>
      </c>
      <c r="C30" s="222"/>
      <c r="D30" s="222"/>
      <c r="E30" s="222"/>
      <c r="F30" s="222"/>
      <c r="G30" s="222"/>
    </row>
    <row r="31" spans="2:7" ht="15.75">
      <c r="B31" s="48"/>
      <c r="C31" s="224" t="s">
        <v>199</v>
      </c>
      <c r="D31" s="224" t="s">
        <v>200</v>
      </c>
      <c r="E31" s="224" t="s">
        <v>201</v>
      </c>
      <c r="F31" s="224" t="s">
        <v>202</v>
      </c>
      <c r="G31" s="222"/>
    </row>
    <row r="32" spans="2:7" ht="15.75" customHeight="1">
      <c r="B32" s="48"/>
      <c r="C32" s="314" t="s">
        <v>119</v>
      </c>
      <c r="D32" s="315"/>
      <c r="E32" s="315"/>
      <c r="F32" s="316"/>
      <c r="G32" s="222"/>
    </row>
    <row r="33" spans="2:8" ht="15.75">
      <c r="B33" s="125" t="s">
        <v>267</v>
      </c>
      <c r="C33" s="286">
        <v>0</v>
      </c>
      <c r="D33" s="286">
        <v>0</v>
      </c>
      <c r="E33" s="286">
        <v>23</v>
      </c>
      <c r="F33" s="286">
        <v>46</v>
      </c>
      <c r="G33" s="222"/>
      <c r="H33" t="s">
        <v>318</v>
      </c>
    </row>
    <row r="34" spans="2:7" ht="15.75">
      <c r="B34" s="2"/>
      <c r="C34" s="232"/>
      <c r="D34" s="232"/>
      <c r="E34" s="232"/>
      <c r="F34" s="211"/>
      <c r="G34" s="222"/>
    </row>
    <row r="35" spans="2:7" ht="15.75">
      <c r="B35" s="48" t="s">
        <v>192</v>
      </c>
      <c r="C35" s="222"/>
      <c r="D35" s="222"/>
      <c r="E35" s="222"/>
      <c r="F35" s="222"/>
      <c r="G35" s="222"/>
    </row>
    <row r="36" spans="2:7" ht="15.75">
      <c r="B36" s="6"/>
      <c r="C36" s="233" t="s">
        <v>8</v>
      </c>
      <c r="D36" s="233" t="s">
        <v>9</v>
      </c>
      <c r="E36" s="233" t="s">
        <v>10</v>
      </c>
      <c r="F36" s="233" t="s">
        <v>11</v>
      </c>
      <c r="G36" s="222"/>
    </row>
    <row r="37" spans="2:7" ht="15.75">
      <c r="B37" s="8" t="s">
        <v>193</v>
      </c>
      <c r="C37" s="224" t="s">
        <v>13</v>
      </c>
      <c r="D37" s="224" t="s">
        <v>14</v>
      </c>
      <c r="E37" s="224" t="s">
        <v>15</v>
      </c>
      <c r="F37" s="224" t="s">
        <v>16</v>
      </c>
      <c r="G37" s="222"/>
    </row>
    <row r="38" spans="2:7" ht="15.75">
      <c r="B38" t="s">
        <v>17</v>
      </c>
      <c r="C38" s="275">
        <v>2</v>
      </c>
      <c r="D38" s="275">
        <v>18</v>
      </c>
      <c r="E38" s="275">
        <v>5</v>
      </c>
      <c r="F38" s="275">
        <v>0</v>
      </c>
      <c r="G38" s="222" t="s">
        <v>198</v>
      </c>
    </row>
    <row r="39" spans="2:7" ht="15.75">
      <c r="B39" s="48"/>
      <c r="C39" s="222"/>
      <c r="D39" s="222"/>
      <c r="E39" s="222"/>
      <c r="F39" s="222"/>
      <c r="G39" s="222"/>
    </row>
    <row r="40" spans="2:7" ht="15.75">
      <c r="B40" s="6"/>
      <c r="C40" s="233" t="s">
        <v>8</v>
      </c>
      <c r="D40" s="233" t="s">
        <v>9</v>
      </c>
      <c r="E40" s="233" t="s">
        <v>10</v>
      </c>
      <c r="F40" s="233" t="s">
        <v>11</v>
      </c>
      <c r="G40" s="235"/>
    </row>
    <row r="41" spans="2:7" ht="15.75">
      <c r="B41" s="8" t="s">
        <v>194</v>
      </c>
      <c r="C41" s="224" t="s">
        <v>13</v>
      </c>
      <c r="D41" s="224" t="s">
        <v>14</v>
      </c>
      <c r="E41" s="224" t="s">
        <v>15</v>
      </c>
      <c r="F41" s="224" t="s">
        <v>16</v>
      </c>
      <c r="G41" s="236"/>
    </row>
    <row r="42" spans="2:7" ht="15.75">
      <c r="B42" s="8"/>
      <c r="C42" s="224"/>
      <c r="D42" s="224"/>
      <c r="E42" s="224"/>
      <c r="F42" s="224"/>
      <c r="G42" s="236"/>
    </row>
    <row r="43" spans="2:7" ht="15.75">
      <c r="B43" s="5" t="s">
        <v>196</v>
      </c>
      <c r="C43" s="288">
        <v>1</v>
      </c>
      <c r="D43" s="288">
        <v>5</v>
      </c>
      <c r="E43" s="288">
        <v>1</v>
      </c>
      <c r="F43" s="288">
        <v>40</v>
      </c>
      <c r="G43" s="223"/>
    </row>
    <row r="44" spans="2:7" ht="15.75">
      <c r="B44" t="s">
        <v>100</v>
      </c>
      <c r="C44" s="275">
        <v>9</v>
      </c>
      <c r="D44" s="275">
        <v>6</v>
      </c>
      <c r="E44" s="275">
        <v>5</v>
      </c>
      <c r="F44" s="275">
        <v>40</v>
      </c>
      <c r="G44" s="222"/>
    </row>
    <row r="45" spans="2:7" ht="15.75">
      <c r="B45" s="5" t="s">
        <v>18</v>
      </c>
      <c r="C45" s="288">
        <v>0</v>
      </c>
      <c r="D45" s="288">
        <v>25</v>
      </c>
      <c r="E45" s="288">
        <v>4</v>
      </c>
      <c r="F45" s="288">
        <v>40</v>
      </c>
      <c r="G45" s="223"/>
    </row>
    <row r="46" spans="2:7" ht="15.75">
      <c r="B46" s="5" t="s">
        <v>269</v>
      </c>
      <c r="C46" s="288">
        <v>1</v>
      </c>
      <c r="D46" s="288">
        <v>4</v>
      </c>
      <c r="E46" s="288">
        <v>2</v>
      </c>
      <c r="F46" s="288">
        <v>40</v>
      </c>
      <c r="G46" s="223"/>
    </row>
    <row r="47" spans="2:7" ht="15">
      <c r="B47" s="5"/>
      <c r="C47" s="222"/>
      <c r="D47" s="223"/>
      <c r="E47" s="223"/>
      <c r="F47" s="223"/>
      <c r="G47" s="222"/>
    </row>
    <row r="48" spans="3:7" ht="15">
      <c r="C48" s="223"/>
      <c r="D48" s="223"/>
      <c r="E48" s="223"/>
      <c r="F48" s="223"/>
      <c r="G48" s="223"/>
    </row>
    <row r="49" spans="2:7" ht="15.75">
      <c r="B49" s="8" t="s">
        <v>120</v>
      </c>
      <c r="C49" s="222"/>
      <c r="D49" s="222"/>
      <c r="E49" s="237"/>
      <c r="F49" s="230" t="s">
        <v>133</v>
      </c>
      <c r="G49" s="222"/>
    </row>
    <row r="50" spans="2:7" ht="15.75">
      <c r="B50" s="12" t="s">
        <v>107</v>
      </c>
      <c r="C50" s="222"/>
      <c r="D50" s="222"/>
      <c r="E50" s="226"/>
      <c r="F50" s="289">
        <v>2</v>
      </c>
      <c r="G50" s="222"/>
    </row>
    <row r="51" spans="2:7" ht="15.75">
      <c r="B51" s="12" t="s">
        <v>130</v>
      </c>
      <c r="C51" s="222"/>
      <c r="D51" s="222"/>
      <c r="E51" s="238"/>
      <c r="F51" s="290">
        <v>2</v>
      </c>
      <c r="G51" s="222" t="s">
        <v>209</v>
      </c>
    </row>
    <row r="52" spans="2:7" ht="15.75">
      <c r="B52" s="12" t="s">
        <v>108</v>
      </c>
      <c r="C52" s="222"/>
      <c r="D52" s="222"/>
      <c r="E52" s="231"/>
      <c r="F52" s="286">
        <v>5</v>
      </c>
      <c r="G52" s="222"/>
    </row>
    <row r="53" spans="2:7" ht="15.75">
      <c r="B53" s="5"/>
      <c r="C53" s="4"/>
      <c r="D53" s="4"/>
      <c r="E53" s="4"/>
      <c r="F53" s="4"/>
      <c r="G53" s="72"/>
    </row>
    <row r="54" spans="2:10" ht="19.5" customHeight="1">
      <c r="B54" s="310" t="s">
        <v>181</v>
      </c>
      <c r="C54" s="310"/>
      <c r="D54" s="310"/>
      <c r="E54" s="310"/>
      <c r="F54" s="310"/>
      <c r="G54" s="310"/>
      <c r="H54" s="205"/>
      <c r="I54" s="205"/>
      <c r="J54" s="205"/>
    </row>
    <row r="55" spans="2:10" ht="15.75" customHeight="1">
      <c r="B55" s="311" t="s">
        <v>387</v>
      </c>
      <c r="C55" s="311"/>
      <c r="D55" s="311"/>
      <c r="E55" s="311"/>
      <c r="F55" s="311"/>
      <c r="G55" s="311"/>
      <c r="H55" s="171"/>
      <c r="I55" s="171"/>
      <c r="J55" s="2"/>
    </row>
    <row r="56" spans="2:7" ht="15.75">
      <c r="B56" s="5"/>
      <c r="C56" s="4"/>
      <c r="D56" s="4"/>
      <c r="E56" s="4"/>
      <c r="F56" s="4"/>
      <c r="G56" s="5"/>
    </row>
    <row r="57" spans="2:7" ht="15.75">
      <c r="B57" s="8" t="s">
        <v>134</v>
      </c>
      <c r="C57" s="4"/>
      <c r="D57" s="4"/>
      <c r="E57" s="4"/>
      <c r="F57" s="4"/>
      <c r="G57" s="5"/>
    </row>
    <row r="58" spans="2:7" ht="15.75">
      <c r="B58" s="96" t="s">
        <v>137</v>
      </c>
      <c r="C58" s="211" t="s">
        <v>190</v>
      </c>
      <c r="D58" s="226"/>
      <c r="E58" s="281">
        <v>100</v>
      </c>
      <c r="F58" s="227"/>
      <c r="G58" s="223"/>
    </row>
    <row r="59" spans="2:7" ht="15.75">
      <c r="B59" s="82" t="s">
        <v>138</v>
      </c>
      <c r="C59" s="222" t="s">
        <v>306</v>
      </c>
      <c r="D59" s="227"/>
      <c r="E59" s="282">
        <v>200</v>
      </c>
      <c r="F59" s="227"/>
      <c r="G59" s="223"/>
    </row>
    <row r="60" spans="2:7" ht="15.75">
      <c r="B60" s="5"/>
      <c r="C60" s="229"/>
      <c r="D60" s="227"/>
      <c r="E60" s="225"/>
      <c r="F60" s="227"/>
      <c r="G60" s="223"/>
    </row>
    <row r="61" spans="2:7" ht="15.75">
      <c r="B61" s="8" t="s">
        <v>135</v>
      </c>
      <c r="C61" s="223"/>
      <c r="D61" s="223"/>
      <c r="E61" s="227"/>
      <c r="F61" s="227"/>
      <c r="G61" s="223"/>
    </row>
    <row r="62" spans="2:7" ht="15.75">
      <c r="B62" s="5"/>
      <c r="C62" s="223" t="s">
        <v>84</v>
      </c>
      <c r="D62" s="223"/>
      <c r="E62" s="280">
        <v>0.015</v>
      </c>
      <c r="F62" s="227"/>
      <c r="G62" s="223"/>
    </row>
    <row r="63" spans="2:7" ht="15.75">
      <c r="B63" s="5"/>
      <c r="C63" s="227"/>
      <c r="D63" s="227"/>
      <c r="E63" s="227"/>
      <c r="F63" s="227"/>
      <c r="G63" s="223"/>
    </row>
    <row r="64" spans="2:7" ht="15.75">
      <c r="B64" s="8" t="s">
        <v>101</v>
      </c>
      <c r="C64" s="227"/>
      <c r="D64" s="227"/>
      <c r="E64" s="227"/>
      <c r="F64" s="227"/>
      <c r="G64" s="223"/>
    </row>
    <row r="65" spans="3:7" ht="15.75">
      <c r="C65" s="227" t="s">
        <v>197</v>
      </c>
      <c r="D65" s="227"/>
      <c r="E65" s="222"/>
      <c r="F65" s="277">
        <v>150</v>
      </c>
      <c r="G65" s="223" t="s">
        <v>210</v>
      </c>
    </row>
    <row r="66" spans="2:7" ht="15.75">
      <c r="B66" s="5"/>
      <c r="C66" s="227" t="s">
        <v>195</v>
      </c>
      <c r="D66" s="227"/>
      <c r="E66" s="278">
        <v>0.66</v>
      </c>
      <c r="F66" s="226" t="s">
        <v>211</v>
      </c>
      <c r="G66" s="223" t="s">
        <v>212</v>
      </c>
    </row>
    <row r="67" spans="2:7" ht="15.75">
      <c r="B67" s="5"/>
      <c r="C67" s="227"/>
      <c r="D67" s="227"/>
      <c r="E67" s="279">
        <v>250</v>
      </c>
      <c r="F67" s="226" t="s">
        <v>204</v>
      </c>
      <c r="G67" s="223"/>
    </row>
    <row r="68" spans="2:7" ht="15.75">
      <c r="B68" s="48" t="s">
        <v>91</v>
      </c>
      <c r="C68" s="224" t="s">
        <v>199</v>
      </c>
      <c r="D68" s="224" t="s">
        <v>200</v>
      </c>
      <c r="E68" s="224" t="s">
        <v>201</v>
      </c>
      <c r="F68" s="224" t="s">
        <v>202</v>
      </c>
      <c r="G68" s="222"/>
    </row>
    <row r="69" spans="2:7" ht="15.75">
      <c r="B69" s="48"/>
      <c r="C69" s="222"/>
      <c r="D69" s="222"/>
      <c r="E69" s="222"/>
      <c r="F69" s="222"/>
      <c r="G69" s="222"/>
    </row>
    <row r="70" spans="3:7" ht="15.75" customHeight="1">
      <c r="C70" s="312" t="s">
        <v>173</v>
      </c>
      <c r="D70" s="313"/>
      <c r="E70" s="313"/>
      <c r="F70" s="313"/>
      <c r="G70" s="222"/>
    </row>
    <row r="71" spans="2:7" ht="15.75">
      <c r="B71" t="s">
        <v>95</v>
      </c>
      <c r="C71" s="274">
        <v>2</v>
      </c>
      <c r="D71" s="275">
        <v>0.5</v>
      </c>
      <c r="E71" s="275">
        <v>0.5</v>
      </c>
      <c r="F71" s="275">
        <v>0.5</v>
      </c>
      <c r="G71" s="239">
        <f aca="true" t="shared" si="0" ref="G71:G76">SUM(C71:F71)</f>
        <v>3.5</v>
      </c>
    </row>
    <row r="72" spans="2:7" ht="15.75">
      <c r="B72" t="s">
        <v>214</v>
      </c>
      <c r="C72" s="274">
        <v>0</v>
      </c>
      <c r="D72" s="275">
        <v>2</v>
      </c>
      <c r="E72" s="275">
        <v>2</v>
      </c>
      <c r="F72" s="275">
        <v>3</v>
      </c>
      <c r="G72" s="239">
        <f t="shared" si="0"/>
        <v>7</v>
      </c>
    </row>
    <row r="73" spans="2:7" ht="15.75">
      <c r="B73" t="s">
        <v>100</v>
      </c>
      <c r="C73" s="274">
        <v>0</v>
      </c>
      <c r="D73" s="274">
        <v>1.5</v>
      </c>
      <c r="E73" s="274">
        <v>1.5</v>
      </c>
      <c r="F73" s="274">
        <v>1.5</v>
      </c>
      <c r="G73" s="239">
        <f t="shared" si="0"/>
        <v>4.5</v>
      </c>
    </row>
    <row r="74" spans="2:7" ht="15.75">
      <c r="B74" t="s">
        <v>97</v>
      </c>
      <c r="C74" s="274">
        <v>4</v>
      </c>
      <c r="D74" s="274">
        <v>3</v>
      </c>
      <c r="E74" s="274">
        <v>3</v>
      </c>
      <c r="F74" s="274">
        <v>3</v>
      </c>
      <c r="G74" s="239">
        <f t="shared" si="0"/>
        <v>13</v>
      </c>
    </row>
    <row r="75" spans="2:7" ht="15.75">
      <c r="B75" t="s">
        <v>269</v>
      </c>
      <c r="C75" s="274">
        <v>10</v>
      </c>
      <c r="D75" s="274">
        <v>0</v>
      </c>
      <c r="E75" s="274">
        <v>0</v>
      </c>
      <c r="F75" s="274">
        <v>0</v>
      </c>
      <c r="G75" s="239">
        <f t="shared" si="0"/>
        <v>10</v>
      </c>
    </row>
    <row r="76" spans="2:7" ht="15.75">
      <c r="B76" t="s">
        <v>90</v>
      </c>
      <c r="C76" s="276">
        <f>'Establishment Costs'!L61</f>
        <v>6.25</v>
      </c>
      <c r="D76" s="276">
        <v>0</v>
      </c>
      <c r="E76" s="276">
        <v>0</v>
      </c>
      <c r="F76" s="276">
        <v>0</v>
      </c>
      <c r="G76" s="240">
        <f t="shared" si="0"/>
        <v>6.25</v>
      </c>
    </row>
    <row r="77" spans="2:8" ht="15.75">
      <c r="B77" t="s">
        <v>160</v>
      </c>
      <c r="C77" s="239">
        <f>SUM(C71:C76)</f>
        <v>22.25</v>
      </c>
      <c r="D77" s="239">
        <f>SUM(D71:D76)</f>
        <v>7</v>
      </c>
      <c r="E77" s="239">
        <f>SUM(E71:E76)</f>
        <v>7</v>
      </c>
      <c r="F77" s="239">
        <f>SUM(F71:F76)</f>
        <v>8</v>
      </c>
      <c r="G77" s="239">
        <f>SUM(G71:G76)</f>
        <v>44.25</v>
      </c>
      <c r="H77" t="s">
        <v>155</v>
      </c>
    </row>
    <row r="78" spans="3:7" ht="15">
      <c r="C78" s="222"/>
      <c r="D78" s="222"/>
      <c r="E78" s="222"/>
      <c r="F78" s="222"/>
      <c r="G78" s="222"/>
    </row>
    <row r="79" spans="2:7" ht="15.75">
      <c r="B79" s="2" t="s">
        <v>161</v>
      </c>
      <c r="C79" s="222"/>
      <c r="D79" s="286">
        <v>17.5</v>
      </c>
      <c r="E79" s="222"/>
      <c r="F79" s="222"/>
      <c r="G79" s="222"/>
    </row>
    <row r="80" spans="3:7" ht="15">
      <c r="C80" s="222"/>
      <c r="D80" s="222"/>
      <c r="E80" s="222"/>
      <c r="F80" s="222"/>
      <c r="G80" s="222"/>
    </row>
  </sheetData>
  <sheetProtection password="C6A6" sheet="1"/>
  <mergeCells count="9">
    <mergeCell ref="B54:G54"/>
    <mergeCell ref="B55:G55"/>
    <mergeCell ref="B2:G2"/>
    <mergeCell ref="C70:F70"/>
    <mergeCell ref="C22:F22"/>
    <mergeCell ref="C32:F32"/>
    <mergeCell ref="C15:F15"/>
    <mergeCell ref="C27:F27"/>
    <mergeCell ref="B3:G3"/>
  </mergeCells>
  <printOptions horizontalCentered="1"/>
  <pageMargins left="0.7480314960629921" right="0.7480314960629921" top="0.984251968503937" bottom="0.984251968503937" header="0.5118110236220472" footer="0.5118110236220472"/>
  <pageSetup firstPageNumber="4" useFirstPageNumber="1" fitToHeight="2" horizontalDpi="300" verticalDpi="300" orientation="portrait" scale="81" r:id="rId1"/>
  <headerFooter alignWithMargins="0">
    <oddHeader>&amp;L&amp;11Guidelines: Saskatoon Production Cost&amp;R&amp;11&amp;P</oddHeader>
    <oddFooter>&amp;R&amp;"Arial,Italic"&amp;11MAFRI, GO Team Branch and Crops Knowledge Centre</oddFooter>
  </headerFooter>
  <rowBreaks count="1" manualBreakCount="1">
    <brk id="52" max="6" man="1"/>
  </rowBreaks>
  <ignoredErrors>
    <ignoredError sqref="C77" emptyCellReference="1"/>
  </ignoredErrors>
</worksheet>
</file>

<file path=xl/worksheets/sheet5.xml><?xml version="1.0" encoding="utf-8"?>
<worksheet xmlns="http://schemas.openxmlformats.org/spreadsheetml/2006/main" xmlns:r="http://schemas.openxmlformats.org/officeDocument/2006/relationships">
  <sheetPr codeName="Sheet4"/>
  <dimension ref="A1:M161"/>
  <sheetViews>
    <sheetView zoomScalePageLayoutView="0" workbookViewId="0" topLeftCell="A1">
      <selection activeCell="I143" sqref="I143"/>
    </sheetView>
  </sheetViews>
  <sheetFormatPr defaultColWidth="8.88671875" defaultRowHeight="15"/>
  <cols>
    <col min="1" max="1" width="2.21484375" style="0" customWidth="1"/>
    <col min="2" max="2" width="23.4453125" style="0" customWidth="1"/>
    <col min="3" max="3" width="3.5546875" style="0" customWidth="1"/>
    <col min="4" max="4" width="13.5546875" style="0" customWidth="1"/>
    <col min="5" max="5" width="2.21484375" style="0" customWidth="1"/>
    <col min="6" max="6" width="16.21484375" style="0" customWidth="1"/>
    <col min="7" max="7" width="10.10546875" style="0" customWidth="1"/>
    <col min="8" max="8" width="9.88671875" style="0" customWidth="1"/>
    <col min="9" max="9" width="11.4453125" style="0" customWidth="1"/>
  </cols>
  <sheetData>
    <row r="1" spans="2:9" ht="18">
      <c r="B1" s="310" t="s">
        <v>181</v>
      </c>
      <c r="C1" s="310"/>
      <c r="D1" s="310"/>
      <c r="E1" s="310"/>
      <c r="F1" s="310"/>
      <c r="G1" s="310"/>
      <c r="H1" s="310"/>
      <c r="I1" s="72"/>
    </row>
    <row r="2" spans="2:9" ht="18">
      <c r="B2" s="311" t="s">
        <v>386</v>
      </c>
      <c r="C2" s="317"/>
      <c r="D2" s="317"/>
      <c r="E2" s="317"/>
      <c r="F2" s="317"/>
      <c r="G2" s="317"/>
      <c r="H2" s="317"/>
      <c r="I2" s="208"/>
    </row>
    <row r="3" spans="1:9" ht="15.75">
      <c r="A3" s="20" t="s">
        <v>228</v>
      </c>
      <c r="I3" s="39" t="s">
        <v>65</v>
      </c>
    </row>
    <row r="4" ht="15">
      <c r="I4" s="40"/>
    </row>
    <row r="5" spans="2:9" ht="15.75">
      <c r="B5" s="20" t="s">
        <v>116</v>
      </c>
      <c r="C5" s="2"/>
      <c r="D5" s="2"/>
      <c r="E5" s="2"/>
      <c r="F5" s="2"/>
      <c r="G5" s="2"/>
      <c r="H5" s="2"/>
      <c r="I5" s="2"/>
    </row>
    <row r="6" spans="2:9" ht="15.75">
      <c r="B6" s="20"/>
      <c r="C6" s="2"/>
      <c r="D6" s="2"/>
      <c r="E6" s="2"/>
      <c r="F6" s="2"/>
      <c r="G6" s="2"/>
      <c r="H6" s="2"/>
      <c r="I6" s="2"/>
    </row>
    <row r="7" spans="2:9" ht="15.75">
      <c r="B7" s="49" t="s">
        <v>115</v>
      </c>
      <c r="C7" s="50"/>
      <c r="D7" s="54">
        <f>Establishment!F7</f>
        <v>880</v>
      </c>
      <c r="E7" s="2"/>
      <c r="F7" s="2" t="s">
        <v>89</v>
      </c>
      <c r="G7" s="2"/>
      <c r="H7" s="2"/>
      <c r="I7" s="51"/>
    </row>
    <row r="8" spans="2:9" ht="15">
      <c r="B8" s="2"/>
      <c r="C8" s="39" t="s">
        <v>34</v>
      </c>
      <c r="D8" s="56">
        <f>Establishment!F8</f>
        <v>2</v>
      </c>
      <c r="E8" s="40"/>
      <c r="F8" s="40" t="s">
        <v>179</v>
      </c>
      <c r="G8" s="2"/>
      <c r="H8" s="2"/>
      <c r="I8" s="52"/>
    </row>
    <row r="9" spans="2:9" ht="15.75">
      <c r="B9" s="50"/>
      <c r="C9" s="49" t="s">
        <v>35</v>
      </c>
      <c r="D9" s="24">
        <f>D7*D8</f>
        <v>1760</v>
      </c>
      <c r="E9" s="20"/>
      <c r="F9" s="2" t="s">
        <v>56</v>
      </c>
      <c r="G9" s="2"/>
      <c r="H9" s="2"/>
      <c r="I9" s="52"/>
    </row>
    <row r="10" spans="2:9" ht="15.75">
      <c r="B10" s="49" t="s">
        <v>323</v>
      </c>
      <c r="C10" s="49"/>
      <c r="D10" s="24">
        <f>Establishment!F10</f>
        <v>40</v>
      </c>
      <c r="E10" s="20"/>
      <c r="F10" s="2" t="s">
        <v>1</v>
      </c>
      <c r="G10" s="2"/>
      <c r="H10" s="2"/>
      <c r="I10" s="51"/>
    </row>
    <row r="11" spans="2:9" ht="15.75">
      <c r="B11" s="50"/>
      <c r="C11" s="49" t="s">
        <v>34</v>
      </c>
      <c r="D11" s="25">
        <f>Establishment!F11</f>
        <v>2.75</v>
      </c>
      <c r="E11" s="48"/>
      <c r="F11" s="40" t="s">
        <v>324</v>
      </c>
      <c r="G11" s="2"/>
      <c r="H11" s="2"/>
      <c r="I11" s="51"/>
    </row>
    <row r="12" spans="2:9" ht="15.75">
      <c r="B12" s="50"/>
      <c r="C12" s="49"/>
      <c r="D12" s="24">
        <f>D10*D11</f>
        <v>110</v>
      </c>
      <c r="E12" s="20"/>
      <c r="F12" s="2" t="s">
        <v>68</v>
      </c>
      <c r="G12" s="2"/>
      <c r="H12" s="2"/>
      <c r="I12" s="51"/>
    </row>
    <row r="13" spans="2:9" ht="15.75">
      <c r="B13" s="20" t="s">
        <v>325</v>
      </c>
      <c r="C13" s="49"/>
      <c r="D13" s="27">
        <f>D9+D12</f>
        <v>1870</v>
      </c>
      <c r="E13" s="20"/>
      <c r="F13" s="20" t="s">
        <v>68</v>
      </c>
      <c r="G13" s="2"/>
      <c r="H13" s="2"/>
      <c r="I13" s="51"/>
    </row>
    <row r="14" spans="2:9" ht="15.75">
      <c r="B14" s="2"/>
      <c r="C14" s="49"/>
      <c r="D14" s="24"/>
      <c r="E14" s="20"/>
      <c r="F14" s="2"/>
      <c r="G14" s="2"/>
      <c r="H14" s="2"/>
      <c r="I14" s="45"/>
    </row>
    <row r="15" ht="15.75">
      <c r="B15" s="20" t="s">
        <v>26</v>
      </c>
    </row>
    <row r="16" ht="15.75">
      <c r="B16" s="20"/>
    </row>
    <row r="17" spans="2:9" ht="15">
      <c r="B17" s="2" t="s">
        <v>205</v>
      </c>
      <c r="C17" s="2"/>
      <c r="D17" s="24">
        <f>Establishment!C16</f>
        <v>25</v>
      </c>
      <c r="E17" s="2"/>
      <c r="F17" s="2" t="s">
        <v>56</v>
      </c>
      <c r="G17" s="2"/>
      <c r="H17" s="2"/>
      <c r="I17" s="51"/>
    </row>
    <row r="18" spans="2:9" ht="15">
      <c r="B18" s="2" t="s">
        <v>206</v>
      </c>
      <c r="C18" s="49" t="s">
        <v>38</v>
      </c>
      <c r="D18" s="24">
        <f>Establishment!D16</f>
        <v>25</v>
      </c>
      <c r="E18" s="2"/>
      <c r="F18" s="2" t="s">
        <v>56</v>
      </c>
      <c r="G18" s="2"/>
      <c r="H18" s="2"/>
      <c r="I18" s="51"/>
    </row>
    <row r="19" spans="2:9" ht="15">
      <c r="B19" s="2" t="s">
        <v>207</v>
      </c>
      <c r="C19" s="49" t="s">
        <v>38</v>
      </c>
      <c r="D19" s="24">
        <f>Establishment!E16</f>
        <v>25</v>
      </c>
      <c r="E19" s="2"/>
      <c r="F19" s="2" t="s">
        <v>56</v>
      </c>
      <c r="G19" s="2"/>
      <c r="H19" s="2"/>
      <c r="I19" s="52"/>
    </row>
    <row r="20" spans="2:9" ht="15">
      <c r="B20" s="2" t="s">
        <v>208</v>
      </c>
      <c r="C20" s="49" t="s">
        <v>38</v>
      </c>
      <c r="D20" s="24">
        <f>Establishment!F16</f>
        <v>25</v>
      </c>
      <c r="E20" s="2"/>
      <c r="F20" s="2" t="s">
        <v>56</v>
      </c>
      <c r="G20" s="2"/>
      <c r="H20" s="2"/>
      <c r="I20" s="52"/>
    </row>
    <row r="21" spans="1:9" ht="15.75">
      <c r="A21" s="2"/>
      <c r="B21" s="76" t="s">
        <v>121</v>
      </c>
      <c r="C21" s="50" t="s">
        <v>35</v>
      </c>
      <c r="D21" s="53">
        <f>SUM(D17:D20)</f>
        <v>100</v>
      </c>
      <c r="E21" s="20"/>
      <c r="F21" s="20" t="s">
        <v>68</v>
      </c>
      <c r="G21" s="2"/>
      <c r="H21" s="2"/>
      <c r="I21" s="51"/>
    </row>
    <row r="22" spans="1:9" ht="15">
      <c r="A22" s="2"/>
      <c r="B22" s="2"/>
      <c r="C22" s="49"/>
      <c r="D22" s="31"/>
      <c r="E22" s="2"/>
      <c r="F22" s="2"/>
      <c r="G22" s="2"/>
      <c r="H22" s="2"/>
      <c r="I22" s="45"/>
    </row>
    <row r="23" spans="1:2" ht="15.75">
      <c r="A23" s="2"/>
      <c r="B23" s="20" t="s">
        <v>70</v>
      </c>
    </row>
    <row r="24" spans="1:9" ht="15">
      <c r="A24" s="2"/>
      <c r="B24" s="2" t="s">
        <v>205</v>
      </c>
      <c r="C24" s="2"/>
      <c r="D24" s="31">
        <f>Establishment!C23</f>
        <v>10</v>
      </c>
      <c r="E24" s="2"/>
      <c r="F24" s="2" t="s">
        <v>270</v>
      </c>
      <c r="G24" s="2"/>
      <c r="H24" s="2"/>
      <c r="I24" s="51"/>
    </row>
    <row r="25" spans="1:9" ht="15">
      <c r="A25" s="2"/>
      <c r="B25" s="2" t="s">
        <v>206</v>
      </c>
      <c r="C25" s="49" t="s">
        <v>38</v>
      </c>
      <c r="D25" s="31">
        <f>Establishment!D23</f>
        <v>6</v>
      </c>
      <c r="E25" s="2"/>
      <c r="F25" s="2" t="s">
        <v>270</v>
      </c>
      <c r="G25" s="2"/>
      <c r="H25" s="2"/>
      <c r="I25" s="51"/>
    </row>
    <row r="26" spans="1:9" ht="15">
      <c r="A26" s="2"/>
      <c r="B26" s="2" t="s">
        <v>207</v>
      </c>
      <c r="C26" s="49" t="s">
        <v>38</v>
      </c>
      <c r="D26" s="24">
        <f>Establishment!E23</f>
        <v>6</v>
      </c>
      <c r="E26" s="2"/>
      <c r="F26" s="2" t="s">
        <v>98</v>
      </c>
      <c r="H26" s="2"/>
      <c r="I26" s="52"/>
    </row>
    <row r="27" spans="1:9" ht="15">
      <c r="A27" s="2"/>
      <c r="B27" s="2" t="s">
        <v>208</v>
      </c>
      <c r="D27" s="83">
        <f>Establishment!F23</f>
        <v>6</v>
      </c>
      <c r="F27" s="2" t="s">
        <v>98</v>
      </c>
      <c r="G27" s="2"/>
      <c r="H27" s="2"/>
      <c r="I27" s="52"/>
    </row>
    <row r="28" spans="1:9" ht="15.75">
      <c r="A28" s="2"/>
      <c r="B28" s="2"/>
      <c r="C28" s="50" t="s">
        <v>35</v>
      </c>
      <c r="D28" s="53">
        <f>SUM(D24:D27)</f>
        <v>28</v>
      </c>
      <c r="E28" s="20"/>
      <c r="F28" s="20" t="s">
        <v>56</v>
      </c>
      <c r="G28" s="2"/>
      <c r="H28" s="2"/>
      <c r="I28" s="45"/>
    </row>
    <row r="29" spans="1:9" ht="15.75">
      <c r="A29" s="2"/>
      <c r="B29" s="20" t="s">
        <v>122</v>
      </c>
      <c r="C29" s="50"/>
      <c r="D29" s="53"/>
      <c r="E29" s="2"/>
      <c r="F29" s="20"/>
      <c r="G29" s="2"/>
      <c r="H29" s="2"/>
      <c r="I29" s="45"/>
    </row>
    <row r="30" spans="1:9" ht="15.75">
      <c r="A30" s="2"/>
      <c r="B30" s="2" t="s">
        <v>205</v>
      </c>
      <c r="C30" s="50"/>
      <c r="D30" s="31">
        <f>Establishment!C28</f>
        <v>0</v>
      </c>
      <c r="E30" s="2"/>
      <c r="F30" s="2" t="s">
        <v>68</v>
      </c>
      <c r="G30" s="2"/>
      <c r="H30" s="2"/>
      <c r="I30" s="51"/>
    </row>
    <row r="31" spans="1:9" ht="15">
      <c r="A31" s="2"/>
      <c r="B31" s="2" t="s">
        <v>206</v>
      </c>
      <c r="C31" s="49" t="s">
        <v>38</v>
      </c>
      <c r="D31" s="31">
        <f>Establishment!D28</f>
        <v>45</v>
      </c>
      <c r="E31" s="2"/>
      <c r="F31" s="2" t="s">
        <v>68</v>
      </c>
      <c r="G31" s="2"/>
      <c r="H31" s="2"/>
      <c r="I31" s="51"/>
    </row>
    <row r="32" spans="1:9" ht="15">
      <c r="A32" s="2"/>
      <c r="B32" s="2" t="s">
        <v>207</v>
      </c>
      <c r="C32" s="49" t="s">
        <v>38</v>
      </c>
      <c r="D32" s="31">
        <f>Establishment!E28</f>
        <v>45</v>
      </c>
      <c r="E32" s="2"/>
      <c r="F32" s="2" t="s">
        <v>68</v>
      </c>
      <c r="G32" s="2"/>
      <c r="H32" s="2"/>
      <c r="I32" s="51"/>
    </row>
    <row r="33" spans="1:9" ht="15">
      <c r="A33" s="2"/>
      <c r="B33" s="2" t="s">
        <v>208</v>
      </c>
      <c r="D33" s="83">
        <f>Establishment!F28</f>
        <v>0</v>
      </c>
      <c r="F33" s="2" t="s">
        <v>68</v>
      </c>
      <c r="G33" s="2"/>
      <c r="H33" s="2"/>
      <c r="I33" s="51"/>
    </row>
    <row r="34" spans="1:9" ht="15.75">
      <c r="A34" s="2"/>
      <c r="B34" s="49"/>
      <c r="C34" s="50" t="s">
        <v>35</v>
      </c>
      <c r="D34" s="53">
        <f>SUM(D30:D33)</f>
        <v>90</v>
      </c>
      <c r="E34" s="2"/>
      <c r="F34" s="2" t="s">
        <v>56</v>
      </c>
      <c r="G34" s="2"/>
      <c r="H34" s="2"/>
      <c r="I34" s="45"/>
    </row>
    <row r="35" spans="1:9" ht="15.75">
      <c r="A35" s="2"/>
      <c r="B35" s="49"/>
      <c r="C35" s="50"/>
      <c r="D35" s="53"/>
      <c r="E35" s="2"/>
      <c r="F35" s="20"/>
      <c r="G35" s="2"/>
      <c r="H35" s="2"/>
      <c r="I35" s="45"/>
    </row>
    <row r="36" spans="1:9" ht="15.75">
      <c r="A36" s="2"/>
      <c r="B36" s="20" t="s">
        <v>123</v>
      </c>
      <c r="C36" s="50"/>
      <c r="D36" s="53"/>
      <c r="E36" s="2"/>
      <c r="F36" s="20"/>
      <c r="G36" s="2"/>
      <c r="H36" s="2"/>
      <c r="I36" s="45"/>
    </row>
    <row r="37" spans="1:9" ht="15.75">
      <c r="A37" s="2"/>
      <c r="B37" s="2" t="s">
        <v>205</v>
      </c>
      <c r="C37" s="50"/>
      <c r="D37" s="31">
        <f>Establishment!C33</f>
        <v>0</v>
      </c>
      <c r="E37" s="2"/>
      <c r="F37" s="2" t="s">
        <v>127</v>
      </c>
      <c r="G37" s="2"/>
      <c r="H37" s="2"/>
      <c r="I37" s="51"/>
    </row>
    <row r="38" spans="1:9" ht="15">
      <c r="A38" s="2"/>
      <c r="B38" s="2" t="s">
        <v>206</v>
      </c>
      <c r="C38" s="49" t="s">
        <v>38</v>
      </c>
      <c r="D38" s="31">
        <f>Establishment!D33</f>
        <v>0</v>
      </c>
      <c r="E38" s="2"/>
      <c r="F38" s="2" t="s">
        <v>128</v>
      </c>
      <c r="G38" s="2"/>
      <c r="H38" s="2"/>
      <c r="I38" s="51"/>
    </row>
    <row r="39" spans="1:9" ht="15">
      <c r="A39" s="2"/>
      <c r="B39" s="2" t="s">
        <v>207</v>
      </c>
      <c r="C39" s="49" t="s">
        <v>38</v>
      </c>
      <c r="D39" s="31">
        <f>Establishment!E33</f>
        <v>23</v>
      </c>
      <c r="E39" s="2"/>
      <c r="F39" s="2" t="s">
        <v>129</v>
      </c>
      <c r="G39" s="2"/>
      <c r="H39" s="2"/>
      <c r="I39" s="51"/>
    </row>
    <row r="40" spans="1:9" ht="15">
      <c r="A40" s="2"/>
      <c r="B40" s="2" t="s">
        <v>208</v>
      </c>
      <c r="D40" s="83">
        <f>Establishment!F33</f>
        <v>46</v>
      </c>
      <c r="G40" s="2"/>
      <c r="H40" s="2"/>
      <c r="I40" s="51"/>
    </row>
    <row r="41" spans="1:9" ht="15.75">
      <c r="A41" s="2"/>
      <c r="B41" s="20"/>
      <c r="C41" s="50" t="s">
        <v>35</v>
      </c>
      <c r="D41" s="53">
        <f>SUM(D37:D40)</f>
        <v>69</v>
      </c>
      <c r="E41" s="2"/>
      <c r="F41" s="20" t="s">
        <v>68</v>
      </c>
      <c r="G41" s="2"/>
      <c r="H41" s="2"/>
      <c r="I41" s="45"/>
    </row>
    <row r="42" spans="1:9" ht="18">
      <c r="A42" s="2"/>
      <c r="B42" s="310" t="s">
        <v>181</v>
      </c>
      <c r="C42" s="310"/>
      <c r="D42" s="310"/>
      <c r="E42" s="310"/>
      <c r="F42" s="310"/>
      <c r="G42" s="310"/>
      <c r="H42" s="310"/>
      <c r="I42" s="207"/>
    </row>
    <row r="43" spans="1:9" ht="15.75">
      <c r="A43" s="2"/>
      <c r="B43" s="311" t="s">
        <v>386</v>
      </c>
      <c r="C43" s="317"/>
      <c r="D43" s="317"/>
      <c r="E43" s="317"/>
      <c r="F43" s="317"/>
      <c r="G43" s="317"/>
      <c r="H43" s="317"/>
      <c r="I43" s="207"/>
    </row>
    <row r="44" spans="1:9" ht="18">
      <c r="A44" s="2"/>
      <c r="B44" s="172"/>
      <c r="C44" s="171"/>
      <c r="D44" s="171"/>
      <c r="E44" s="171"/>
      <c r="F44" s="171"/>
      <c r="G44" s="171"/>
      <c r="H44" s="171"/>
      <c r="I44" s="207"/>
    </row>
    <row r="45" spans="1:9" ht="15.75">
      <c r="A45" s="2"/>
      <c r="B45" s="20" t="s">
        <v>124</v>
      </c>
      <c r="I45" s="39" t="s">
        <v>65</v>
      </c>
    </row>
    <row r="46" spans="1:2" ht="15.75">
      <c r="A46" s="2"/>
      <c r="B46" s="20" t="s">
        <v>90</v>
      </c>
    </row>
    <row r="47" spans="1:8" ht="15.75">
      <c r="A47" s="2"/>
      <c r="B47" s="20" t="s">
        <v>99</v>
      </c>
      <c r="C47" s="2"/>
      <c r="D47" s="50" t="s">
        <v>8</v>
      </c>
      <c r="E47" s="2"/>
      <c r="F47" s="50" t="s">
        <v>9</v>
      </c>
      <c r="G47" s="50" t="s">
        <v>10</v>
      </c>
      <c r="H47" s="50" t="s">
        <v>47</v>
      </c>
    </row>
    <row r="48" spans="1:8" ht="15.75">
      <c r="A48" s="2"/>
      <c r="B48" s="23" t="s">
        <v>12</v>
      </c>
      <c r="C48" s="2"/>
      <c r="D48" s="38" t="s">
        <v>13</v>
      </c>
      <c r="E48" s="2"/>
      <c r="F48" s="38" t="s">
        <v>45</v>
      </c>
      <c r="G48" s="38" t="s">
        <v>46</v>
      </c>
      <c r="H48" s="38" t="s">
        <v>48</v>
      </c>
    </row>
    <row r="49" spans="1:13" ht="15">
      <c r="A49" s="2"/>
      <c r="B49" s="78" t="str">
        <f>Establishment!B38</f>
        <v>Cultivate</v>
      </c>
      <c r="D49" s="72">
        <f>Establishment!C38</f>
        <v>2</v>
      </c>
      <c r="F49" s="72">
        <f>Establishment!D38</f>
        <v>18</v>
      </c>
      <c r="G49" s="72">
        <f>Establishment!E38</f>
        <v>5</v>
      </c>
      <c r="H49" s="68">
        <f>(0.315*(Establishment!F38*0.75))*L49*Assumptions!$E$7</f>
        <v>0</v>
      </c>
      <c r="I49" s="75"/>
      <c r="K49" s="60"/>
      <c r="L49" s="61"/>
      <c r="M49" s="60"/>
    </row>
    <row r="50" spans="1:13" ht="15.75">
      <c r="A50" s="2"/>
      <c r="B50" s="22" t="s">
        <v>66</v>
      </c>
      <c r="D50" t="s">
        <v>388</v>
      </c>
      <c r="H50" s="69">
        <f>SUM(H49:H49)</f>
        <v>0</v>
      </c>
      <c r="I50" s="75"/>
      <c r="K50" s="60"/>
      <c r="L50" s="61"/>
      <c r="M50" s="60"/>
    </row>
    <row r="51" spans="1:13" ht="15">
      <c r="A51" s="2"/>
      <c r="K51" s="60"/>
      <c r="L51" s="61"/>
      <c r="M51" s="60"/>
    </row>
    <row r="52" spans="1:13" ht="15.75">
      <c r="A52" s="2"/>
      <c r="B52" s="20" t="s">
        <v>90</v>
      </c>
      <c r="K52" s="60"/>
      <c r="L52" s="61"/>
      <c r="M52" s="60"/>
    </row>
    <row r="53" spans="1:13" ht="15.75">
      <c r="A53" s="2"/>
      <c r="B53" s="20" t="s">
        <v>118</v>
      </c>
      <c r="K53" s="60"/>
      <c r="L53" s="61"/>
      <c r="M53" s="60"/>
    </row>
    <row r="54" spans="1:13" ht="15.75">
      <c r="A54" s="2"/>
      <c r="B54" s="2"/>
      <c r="C54" s="2"/>
      <c r="D54" s="50" t="s">
        <v>8</v>
      </c>
      <c r="E54" s="2"/>
      <c r="F54" s="50" t="s">
        <v>9</v>
      </c>
      <c r="G54" s="50" t="s">
        <v>10</v>
      </c>
      <c r="H54" s="50" t="s">
        <v>47</v>
      </c>
      <c r="I54" s="2"/>
      <c r="K54" s="73" t="s">
        <v>112</v>
      </c>
      <c r="L54" s="49" t="s">
        <v>39</v>
      </c>
      <c r="M54" s="49" t="s">
        <v>40</v>
      </c>
    </row>
    <row r="55" spans="1:13" ht="15.75">
      <c r="A55" s="2"/>
      <c r="B55" s="23" t="s">
        <v>12</v>
      </c>
      <c r="C55" s="2"/>
      <c r="D55" s="38" t="s">
        <v>13</v>
      </c>
      <c r="E55" s="2"/>
      <c r="F55" s="38" t="s">
        <v>45</v>
      </c>
      <c r="G55" s="38" t="s">
        <v>46</v>
      </c>
      <c r="H55" s="38" t="s">
        <v>48</v>
      </c>
      <c r="I55" s="2"/>
      <c r="K55" s="74" t="s">
        <v>113</v>
      </c>
      <c r="L55" s="39" t="s">
        <v>114</v>
      </c>
      <c r="M55" s="39" t="s">
        <v>41</v>
      </c>
    </row>
    <row r="56" spans="1:13" ht="15.75">
      <c r="A56" s="2"/>
      <c r="B56" s="23"/>
      <c r="C56" s="2"/>
      <c r="D56" s="38"/>
      <c r="E56" s="2"/>
      <c r="F56" s="38"/>
      <c r="G56" s="38"/>
      <c r="H56" s="38"/>
      <c r="I56" s="2"/>
      <c r="K56" s="60"/>
      <c r="L56" s="61"/>
      <c r="M56" s="60"/>
    </row>
    <row r="57" spans="1:13" ht="15">
      <c r="A57" s="2"/>
      <c r="B57" s="59" t="str">
        <f>Establishment!B43</f>
        <v>Transplanting</v>
      </c>
      <c r="C57" s="2"/>
      <c r="D57" s="49">
        <f>Establishment!C43</f>
        <v>1</v>
      </c>
      <c r="E57" s="2"/>
      <c r="F57" s="49">
        <f>Establishment!D43</f>
        <v>5</v>
      </c>
      <c r="G57" s="49">
        <f>Establishment!E43</f>
        <v>1</v>
      </c>
      <c r="H57" s="68">
        <f>(0.25*(Establishment!F43*0.75))*L57*Assumptions!$E$7</f>
        <v>14.7</v>
      </c>
      <c r="I57" s="51"/>
      <c r="K57" s="60">
        <f>(F57*G57)/10</f>
        <v>0.5</v>
      </c>
      <c r="L57" s="61">
        <f>IF(ISERR(1/K57),0,(1/K57)*D57)</f>
        <v>2</v>
      </c>
      <c r="M57" s="60">
        <f>0.1*H57</f>
        <v>1.47</v>
      </c>
    </row>
    <row r="58" spans="1:13" ht="15">
      <c r="A58" s="2"/>
      <c r="B58" s="59" t="str">
        <f>Establishment!B44</f>
        <v>Mowing</v>
      </c>
      <c r="C58" s="2"/>
      <c r="D58" s="49">
        <v>9</v>
      </c>
      <c r="E58" s="2"/>
      <c r="F58" s="49">
        <f>Establishment!D44</f>
        <v>6</v>
      </c>
      <c r="G58" s="49">
        <f>Establishment!E44</f>
        <v>5</v>
      </c>
      <c r="H58" s="68">
        <f>(0.25*(Establishment!F44*0.75))*L58*Assumptions!$E$7</f>
        <v>22.05</v>
      </c>
      <c r="I58" s="51"/>
      <c r="K58" s="60">
        <f>(F58*G58)/10</f>
        <v>3</v>
      </c>
      <c r="L58" s="61">
        <f>IF(ISERR(1/K58),0,(1/K58)*D58)</f>
        <v>3</v>
      </c>
      <c r="M58" s="60">
        <f>0.1*H58</f>
        <v>2.205</v>
      </c>
    </row>
    <row r="59" spans="1:13" ht="15">
      <c r="A59" s="2"/>
      <c r="B59" s="59" t="str">
        <f>Establishment!B45</f>
        <v>Spray</v>
      </c>
      <c r="C59" s="2"/>
      <c r="D59" s="49">
        <f>Establishment!C45</f>
        <v>0</v>
      </c>
      <c r="E59" s="2"/>
      <c r="F59" s="49">
        <f>Establishment!D45</f>
        <v>25</v>
      </c>
      <c r="G59" s="49">
        <f>Establishment!E45</f>
        <v>4</v>
      </c>
      <c r="H59" s="68">
        <f>(0.25*(Establishment!F45*0.75))*L59*Assumptions!$E$7</f>
        <v>0</v>
      </c>
      <c r="I59" s="52"/>
      <c r="K59" s="60">
        <f>(F59*G59)/10</f>
        <v>10</v>
      </c>
      <c r="L59" s="61">
        <f>IF(ISERR(1/K59),0,(1/K59)*D59)</f>
        <v>0</v>
      </c>
      <c r="M59" s="60">
        <f>0.1*H59</f>
        <v>0</v>
      </c>
    </row>
    <row r="60" spans="1:13" ht="15">
      <c r="A60" s="2"/>
      <c r="B60" s="59" t="str">
        <f>Establishment!B46</f>
        <v>Mulch application</v>
      </c>
      <c r="C60" s="2"/>
      <c r="D60" s="49">
        <f>Establishment!C46</f>
        <v>1</v>
      </c>
      <c r="E60" s="2"/>
      <c r="F60" s="49">
        <f>Establishment!D46</f>
        <v>4</v>
      </c>
      <c r="G60" s="49">
        <f>Establishment!E46</f>
        <v>2</v>
      </c>
      <c r="H60" s="79">
        <f>(0.25*(Establishment!F46*0.75))*L60*Assumptions!$E$7</f>
        <v>9.1875</v>
      </c>
      <c r="I60" s="52"/>
      <c r="K60" s="60">
        <f>(F60*G60)/10</f>
        <v>0.8</v>
      </c>
      <c r="L60" s="61">
        <f>IF(ISERR(1/K60),0,(1/K60)*D60)</f>
        <v>1.25</v>
      </c>
      <c r="M60" s="60">
        <f>0.1*H60</f>
        <v>0.9187500000000001</v>
      </c>
    </row>
    <row r="61" spans="2:13" ht="15.75">
      <c r="B61" s="22" t="s">
        <v>66</v>
      </c>
      <c r="C61" s="2"/>
      <c r="D61" s="2"/>
      <c r="E61" s="2"/>
      <c r="F61" s="2"/>
      <c r="G61" s="2"/>
      <c r="H61" s="58">
        <f>ROUND(SUM(H57:H60),2)</f>
        <v>45.94</v>
      </c>
      <c r="I61" s="52"/>
      <c r="K61" s="88">
        <f>SUM(K57:K60)</f>
        <v>14.3</v>
      </c>
      <c r="L61" s="87">
        <f>SUM(L57:L60)</f>
        <v>6.25</v>
      </c>
      <c r="M61" s="88">
        <f>SUM(M57:M60)</f>
        <v>4.59375</v>
      </c>
    </row>
    <row r="63" spans="2:9" ht="15.75">
      <c r="B63" s="2"/>
      <c r="C63" s="2"/>
      <c r="D63" s="24" t="s">
        <v>168</v>
      </c>
      <c r="E63" s="2"/>
      <c r="F63" s="31"/>
      <c r="G63" s="2"/>
      <c r="H63" s="69">
        <f>H50+H61</f>
        <v>45.94</v>
      </c>
      <c r="I63" s="75"/>
    </row>
    <row r="65" ht="15.75">
      <c r="B65" s="20" t="s">
        <v>106</v>
      </c>
    </row>
    <row r="66" spans="2:9" ht="15">
      <c r="B66" s="2" t="s">
        <v>216</v>
      </c>
      <c r="D66" s="81">
        <f>Establishment!F50</f>
        <v>2</v>
      </c>
      <c r="F66" t="s">
        <v>131</v>
      </c>
      <c r="I66" s="75"/>
    </row>
    <row r="67" spans="2:9" ht="15">
      <c r="B67" s="2"/>
      <c r="C67" s="201" t="s">
        <v>34</v>
      </c>
      <c r="D67" s="202">
        <v>4</v>
      </c>
      <c r="E67" s="95"/>
      <c r="F67" s="95" t="s">
        <v>345</v>
      </c>
      <c r="G67" s="95"/>
      <c r="H67" s="95"/>
      <c r="I67" s="75"/>
    </row>
    <row r="68" spans="3:9" ht="15">
      <c r="C68" s="72" t="s">
        <v>34</v>
      </c>
      <c r="D68">
        <f>Establishment!F51</f>
        <v>2</v>
      </c>
      <c r="F68" t="s">
        <v>175</v>
      </c>
      <c r="I68" s="75"/>
    </row>
    <row r="69" spans="3:9" ht="15">
      <c r="C69" s="39" t="s">
        <v>34</v>
      </c>
      <c r="D69" s="56">
        <f>Establishment!F52</f>
        <v>5</v>
      </c>
      <c r="E69" s="40"/>
      <c r="F69" s="40" t="s">
        <v>132</v>
      </c>
      <c r="I69" s="75"/>
    </row>
    <row r="70" spans="3:9" ht="15.75">
      <c r="C70" s="50" t="s">
        <v>35</v>
      </c>
      <c r="D70" s="53">
        <f>D66*D67*D68*D69</f>
        <v>80</v>
      </c>
      <c r="E70" s="20"/>
      <c r="F70" s="20" t="s">
        <v>68</v>
      </c>
      <c r="I70" s="75"/>
    </row>
    <row r="72" ht="15.75">
      <c r="B72" s="20" t="s">
        <v>125</v>
      </c>
    </row>
    <row r="73" spans="2:9" ht="15">
      <c r="B73" t="s">
        <v>217</v>
      </c>
      <c r="D73" s="31">
        <f>Establishment!E58</f>
        <v>100</v>
      </c>
      <c r="F73" t="s">
        <v>139</v>
      </c>
      <c r="I73" s="75"/>
    </row>
    <row r="74" spans="2:9" ht="15">
      <c r="B74" t="s">
        <v>218</v>
      </c>
      <c r="D74" s="31">
        <f>Establishment!E59</f>
        <v>200</v>
      </c>
      <c r="F74" t="s">
        <v>139</v>
      </c>
      <c r="I74" s="75"/>
    </row>
    <row r="75" spans="3:9" ht="15">
      <c r="C75" s="39" t="s">
        <v>42</v>
      </c>
      <c r="D75" s="71">
        <f>Assumptions!E2</f>
        <v>20</v>
      </c>
      <c r="E75" s="40"/>
      <c r="F75" s="40" t="s">
        <v>81</v>
      </c>
      <c r="I75" s="75"/>
    </row>
    <row r="76" spans="3:9" ht="15.75">
      <c r="C76" s="20" t="s">
        <v>35</v>
      </c>
      <c r="D76" s="53">
        <f>(D73+D74)/D75</f>
        <v>15</v>
      </c>
      <c r="E76" s="20"/>
      <c r="F76" s="20" t="s">
        <v>68</v>
      </c>
      <c r="I76" s="75"/>
    </row>
    <row r="78" ht="15.75">
      <c r="B78" s="20" t="s">
        <v>136</v>
      </c>
    </row>
    <row r="79" spans="2:9" ht="15.75">
      <c r="B79" s="20"/>
      <c r="D79" s="62">
        <f>Establishment!E62</f>
        <v>0.015</v>
      </c>
      <c r="E79" s="2"/>
      <c r="F79" s="2" t="s">
        <v>51</v>
      </c>
      <c r="G79" s="2"/>
      <c r="H79" s="2"/>
      <c r="I79" s="51"/>
    </row>
    <row r="80" spans="2:9" ht="15.75">
      <c r="B80" s="20"/>
      <c r="C80" s="99" t="s">
        <v>34</v>
      </c>
      <c r="D80" s="100">
        <f>Assumptions!E62/Assumptions!E2</f>
        <v>10325</v>
      </c>
      <c r="E80" s="99"/>
      <c r="F80" s="99" t="s">
        <v>52</v>
      </c>
      <c r="G80" s="40"/>
      <c r="H80" s="40"/>
      <c r="I80" s="52"/>
    </row>
    <row r="81" spans="2:9" ht="15.75">
      <c r="B81" s="20"/>
      <c r="C81" s="97" t="s">
        <v>34</v>
      </c>
      <c r="D81" s="98">
        <v>4</v>
      </c>
      <c r="E81" s="40"/>
      <c r="F81" s="40" t="s">
        <v>142</v>
      </c>
      <c r="G81" s="40"/>
      <c r="H81" s="40"/>
      <c r="I81" s="52"/>
    </row>
    <row r="82" spans="2:9" ht="15.75">
      <c r="B82" s="20"/>
      <c r="C82" s="20" t="s">
        <v>35</v>
      </c>
      <c r="D82" s="27">
        <f>($D$79*$D$80)*D81</f>
        <v>619.5</v>
      </c>
      <c r="E82" s="2"/>
      <c r="F82" s="20" t="s">
        <v>56</v>
      </c>
      <c r="G82" s="2"/>
      <c r="H82" s="2"/>
      <c r="I82" s="52"/>
    </row>
    <row r="83" ht="15.75">
      <c r="B83" s="20"/>
    </row>
    <row r="84" ht="15.75">
      <c r="B84" s="20" t="s">
        <v>162</v>
      </c>
    </row>
    <row r="85" spans="2:9" ht="15">
      <c r="B85" s="78" t="s">
        <v>220</v>
      </c>
      <c r="D85" s="83">
        <f>Establishment!F65</f>
        <v>150</v>
      </c>
      <c r="F85" t="s">
        <v>219</v>
      </c>
      <c r="I85" s="75"/>
    </row>
    <row r="86" spans="3:6" ht="15.75">
      <c r="C86" s="50"/>
      <c r="D86" s="27"/>
      <c r="E86" s="20"/>
      <c r="F86" s="20"/>
    </row>
    <row r="87" spans="2:9" ht="15.75">
      <c r="B87" s="78" t="s">
        <v>195</v>
      </c>
      <c r="C87" s="50"/>
      <c r="D87" s="60">
        <f>Establishment!E66</f>
        <v>0.66</v>
      </c>
      <c r="E87" s="86"/>
      <c r="F87" s="86" t="s">
        <v>149</v>
      </c>
      <c r="I87" s="75"/>
    </row>
    <row r="88" spans="3:9" ht="15">
      <c r="C88" s="39" t="s">
        <v>34</v>
      </c>
      <c r="D88" s="25">
        <f>Establishment!E67</f>
        <v>250</v>
      </c>
      <c r="E88" s="40"/>
      <c r="F88" s="40" t="s">
        <v>150</v>
      </c>
      <c r="I88" s="75"/>
    </row>
    <row r="89" spans="3:9" ht="15.75">
      <c r="C89" s="50" t="s">
        <v>35</v>
      </c>
      <c r="D89" s="27">
        <f>D87*D88</f>
        <v>165</v>
      </c>
      <c r="E89" s="20"/>
      <c r="F89" s="20" t="s">
        <v>68</v>
      </c>
      <c r="I89" s="75"/>
    </row>
    <row r="90" ht="15.75">
      <c r="F90" s="20"/>
    </row>
    <row r="91" spans="2:6" ht="15.75">
      <c r="B91" t="s">
        <v>234</v>
      </c>
      <c r="D91" s="83">
        <f>D85+D89</f>
        <v>315</v>
      </c>
      <c r="F91" s="20" t="s">
        <v>68</v>
      </c>
    </row>
    <row r="92" spans="2:9" ht="18">
      <c r="B92" s="310" t="s">
        <v>181</v>
      </c>
      <c r="C92" s="310"/>
      <c r="D92" s="310"/>
      <c r="E92" s="310"/>
      <c r="F92" s="310"/>
      <c r="G92" s="310"/>
      <c r="H92" s="310"/>
      <c r="I92" s="72"/>
    </row>
    <row r="93" spans="2:9" ht="15.75">
      <c r="B93" s="311" t="s">
        <v>386</v>
      </c>
      <c r="C93" s="317"/>
      <c r="D93" s="317"/>
      <c r="E93" s="317"/>
      <c r="F93" s="317"/>
      <c r="G93" s="317"/>
      <c r="H93" s="317"/>
      <c r="I93" s="72"/>
    </row>
    <row r="94" ht="15">
      <c r="I94" s="39" t="s">
        <v>65</v>
      </c>
    </row>
    <row r="95" ht="15.75">
      <c r="B95" s="20" t="s">
        <v>163</v>
      </c>
    </row>
    <row r="96" spans="4:9" ht="15">
      <c r="D96" s="203">
        <f>Assumptions!E5+Assumptions!E6/4</f>
        <v>40</v>
      </c>
      <c r="E96" s="2"/>
      <c r="F96" t="s">
        <v>219</v>
      </c>
      <c r="I96" s="75"/>
    </row>
    <row r="97" spans="3:9" ht="15">
      <c r="C97" s="39" t="s">
        <v>38</v>
      </c>
      <c r="D97" s="98">
        <v>4</v>
      </c>
      <c r="E97" s="40"/>
      <c r="F97" s="40" t="s">
        <v>142</v>
      </c>
      <c r="I97" s="75"/>
    </row>
    <row r="98" spans="3:9" ht="17.25" customHeight="1">
      <c r="C98" s="50" t="s">
        <v>35</v>
      </c>
      <c r="D98" s="53">
        <f>D96*D97</f>
        <v>160</v>
      </c>
      <c r="E98" s="20"/>
      <c r="F98" s="20" t="s">
        <v>56</v>
      </c>
      <c r="I98" s="75"/>
    </row>
    <row r="99" spans="4:6" ht="15.75">
      <c r="D99" s="80"/>
      <c r="F99" s="20"/>
    </row>
    <row r="100" ht="15.75">
      <c r="B100" s="20" t="s">
        <v>164</v>
      </c>
    </row>
    <row r="101" spans="2:9" ht="15">
      <c r="B101" s="2"/>
      <c r="C101" s="2"/>
      <c r="D101" s="24">
        <f>Summary!C20</f>
        <v>3392.44</v>
      </c>
      <c r="E101" s="2"/>
      <c r="F101" s="2" t="s">
        <v>176</v>
      </c>
      <c r="G101" s="2"/>
      <c r="H101" s="2"/>
      <c r="I101" s="51"/>
    </row>
    <row r="102" spans="2:9" ht="15">
      <c r="B102" s="2"/>
      <c r="C102" s="49" t="s">
        <v>42</v>
      </c>
      <c r="D102" s="2">
        <v>2</v>
      </c>
      <c r="E102" s="2"/>
      <c r="F102" s="2" t="s">
        <v>57</v>
      </c>
      <c r="G102" s="2"/>
      <c r="H102" s="2"/>
      <c r="I102" s="51"/>
    </row>
    <row r="103" spans="2:9" ht="15.75">
      <c r="B103" s="20"/>
      <c r="C103" s="39" t="s">
        <v>34</v>
      </c>
      <c r="D103" s="65">
        <f>Assumptions!E8</f>
        <v>0.055</v>
      </c>
      <c r="E103" s="2"/>
      <c r="F103" s="40" t="s">
        <v>58</v>
      </c>
      <c r="G103" s="2"/>
      <c r="H103" s="2"/>
      <c r="I103" s="51"/>
    </row>
    <row r="104" spans="2:9" ht="15.75">
      <c r="B104" s="20"/>
      <c r="C104" s="58" t="s">
        <v>35</v>
      </c>
      <c r="D104" s="27">
        <f>(D101/D102)*D103</f>
        <v>93.2921</v>
      </c>
      <c r="E104" s="2"/>
      <c r="F104" s="20" t="s">
        <v>56</v>
      </c>
      <c r="G104" s="2"/>
      <c r="H104" s="2"/>
      <c r="I104" s="51"/>
    </row>
    <row r="106" spans="1:9" ht="15.75">
      <c r="A106" s="2"/>
      <c r="B106" s="2"/>
      <c r="C106" s="2"/>
      <c r="D106" s="48" t="s">
        <v>67</v>
      </c>
      <c r="E106" s="40"/>
      <c r="F106" s="40"/>
      <c r="G106" s="2"/>
      <c r="H106" s="2"/>
      <c r="I106" s="2"/>
    </row>
    <row r="107" spans="1:9" ht="15.75">
      <c r="A107" s="20" t="s">
        <v>55</v>
      </c>
      <c r="C107" s="2"/>
      <c r="D107" s="50" t="s">
        <v>80</v>
      </c>
      <c r="E107" s="49"/>
      <c r="F107" s="49"/>
      <c r="G107" s="2"/>
      <c r="H107" s="20"/>
      <c r="I107" s="2"/>
    </row>
    <row r="108" spans="1:9" ht="15">
      <c r="A108" s="2"/>
      <c r="B108" s="2"/>
      <c r="C108" s="2"/>
      <c r="D108" s="2"/>
      <c r="E108" s="2"/>
      <c r="F108" s="2"/>
      <c r="G108" s="2"/>
      <c r="H108" s="2"/>
      <c r="I108" s="2"/>
    </row>
    <row r="109" spans="1:2" ht="15.75">
      <c r="A109" s="2"/>
      <c r="B109" s="20" t="s">
        <v>29</v>
      </c>
    </row>
    <row r="110" spans="1:9" ht="15">
      <c r="A110" s="2"/>
      <c r="B110" s="2"/>
      <c r="C110" s="2"/>
      <c r="D110" s="31">
        <f>Assumptions!D64</f>
        <v>2975</v>
      </c>
      <c r="E110" s="2"/>
      <c r="F110" s="2" t="s">
        <v>59</v>
      </c>
      <c r="G110" s="2"/>
      <c r="H110" s="2"/>
      <c r="I110" s="51"/>
    </row>
    <row r="111" spans="1:9" ht="15">
      <c r="A111" s="2"/>
      <c r="B111" s="2"/>
      <c r="C111" s="49" t="s">
        <v>43</v>
      </c>
      <c r="D111" s="31">
        <f>Assumptions!G61*Assumptions!D64</f>
        <v>297.5</v>
      </c>
      <c r="E111" s="2"/>
      <c r="F111" s="2" t="s">
        <v>60</v>
      </c>
      <c r="G111" s="40"/>
      <c r="H111" s="2"/>
      <c r="I111" s="52"/>
    </row>
    <row r="112" spans="1:9" ht="15">
      <c r="A112" s="2"/>
      <c r="B112" s="2"/>
      <c r="C112" s="39" t="s">
        <v>42</v>
      </c>
      <c r="D112" s="64">
        <f>Assumptions!F54</f>
        <v>15</v>
      </c>
      <c r="E112" s="40"/>
      <c r="F112" s="40" t="s">
        <v>61</v>
      </c>
      <c r="G112" s="40"/>
      <c r="H112" s="2"/>
      <c r="I112" s="52"/>
    </row>
    <row r="113" spans="1:9" ht="15.75">
      <c r="A113" s="2"/>
      <c r="B113" s="2"/>
      <c r="C113" s="58" t="s">
        <v>35</v>
      </c>
      <c r="D113" s="27">
        <f>ROUND((D110-D111)/D112,2)</f>
        <v>178.5</v>
      </c>
      <c r="E113" s="2"/>
      <c r="F113" s="20" t="s">
        <v>56</v>
      </c>
      <c r="G113" s="2"/>
      <c r="H113" s="2"/>
      <c r="I113" s="52"/>
    </row>
    <row r="114" spans="1:9" ht="15">
      <c r="A114" s="2"/>
      <c r="B114" s="2"/>
      <c r="C114" t="s">
        <v>34</v>
      </c>
      <c r="D114">
        <v>4</v>
      </c>
      <c r="F114" s="2" t="s">
        <v>142</v>
      </c>
      <c r="G114" s="2"/>
      <c r="H114" s="2"/>
      <c r="I114" s="52"/>
    </row>
    <row r="115" spans="1:9" ht="15.75">
      <c r="A115" s="2"/>
      <c r="B115" s="2"/>
      <c r="D115" s="83">
        <f>D113*D114</f>
        <v>714</v>
      </c>
      <c r="F115" s="20" t="s">
        <v>56</v>
      </c>
      <c r="G115" s="2"/>
      <c r="H115" s="2"/>
      <c r="I115" s="51"/>
    </row>
    <row r="116" spans="1:9" ht="15.75">
      <c r="A116" s="2"/>
      <c r="B116" s="2"/>
      <c r="C116" s="58"/>
      <c r="D116" s="27"/>
      <c r="E116" s="2"/>
      <c r="F116" s="20"/>
      <c r="G116" s="2"/>
      <c r="H116" s="2"/>
      <c r="I116" s="51"/>
    </row>
    <row r="117" spans="1:2" ht="15.75">
      <c r="A117" s="2"/>
      <c r="B117" s="20" t="s">
        <v>178</v>
      </c>
    </row>
    <row r="118" spans="1:9" ht="15">
      <c r="A118" s="2"/>
      <c r="B118" s="2"/>
      <c r="C118" s="49"/>
      <c r="D118" s="31">
        <f>Assumptions!D65</f>
        <v>4950</v>
      </c>
      <c r="E118" s="2"/>
      <c r="F118" s="2" t="s">
        <v>59</v>
      </c>
      <c r="G118" s="2"/>
      <c r="H118" s="2"/>
      <c r="I118" s="51"/>
    </row>
    <row r="119" spans="1:9" ht="15">
      <c r="A119" s="2"/>
      <c r="B119" s="2"/>
      <c r="C119" s="49" t="s">
        <v>43</v>
      </c>
      <c r="D119" s="31">
        <f>Assumptions!G61*Assumptions!D65</f>
        <v>495</v>
      </c>
      <c r="E119" s="2"/>
      <c r="F119" s="2" t="s">
        <v>60</v>
      </c>
      <c r="G119" s="2"/>
      <c r="H119" s="2"/>
      <c r="I119" s="52"/>
    </row>
    <row r="120" spans="1:9" s="95" customFormat="1" ht="15">
      <c r="A120" s="126"/>
      <c r="B120" s="126"/>
      <c r="C120" s="127" t="s">
        <v>42</v>
      </c>
      <c r="D120" s="128">
        <f>Assumptions!F61</f>
        <v>15</v>
      </c>
      <c r="E120" s="126"/>
      <c r="F120" s="129" t="s">
        <v>61</v>
      </c>
      <c r="G120" s="126"/>
      <c r="H120" s="126"/>
      <c r="I120" s="130"/>
    </row>
    <row r="121" spans="1:9" s="95" customFormat="1" ht="15.75">
      <c r="A121" s="126"/>
      <c r="B121" s="126"/>
      <c r="C121" s="131" t="s">
        <v>35</v>
      </c>
      <c r="D121" s="132">
        <f>ROUND((D118-D119)/D120,2)</f>
        <v>297</v>
      </c>
      <c r="E121" s="126"/>
      <c r="F121" s="133" t="s">
        <v>56</v>
      </c>
      <c r="G121" s="126"/>
      <c r="H121" s="126"/>
      <c r="I121" s="130"/>
    </row>
    <row r="122" spans="1:9" s="95" customFormat="1" ht="15">
      <c r="A122" s="126"/>
      <c r="B122" s="126"/>
      <c r="C122" s="134" t="s">
        <v>34</v>
      </c>
      <c r="D122" s="135">
        <v>4</v>
      </c>
      <c r="E122" s="126"/>
      <c r="F122" s="126" t="s">
        <v>142</v>
      </c>
      <c r="G122" s="126"/>
      <c r="H122" s="126"/>
      <c r="I122" s="130"/>
    </row>
    <row r="123" spans="1:9" s="95" customFormat="1" ht="15.75">
      <c r="A123" s="126"/>
      <c r="B123" s="126"/>
      <c r="C123" s="134"/>
      <c r="D123" s="136">
        <f>D121*D122</f>
        <v>1188</v>
      </c>
      <c r="F123" s="133" t="s">
        <v>56</v>
      </c>
      <c r="G123" s="126"/>
      <c r="H123" s="126"/>
      <c r="I123" s="137"/>
    </row>
    <row r="124" spans="1:9" ht="15">
      <c r="A124" s="2"/>
      <c r="B124" s="2"/>
      <c r="G124" s="2"/>
      <c r="H124" s="2"/>
      <c r="I124" s="45"/>
    </row>
    <row r="125" spans="1:9" ht="15.75">
      <c r="A125" s="20" t="s">
        <v>54</v>
      </c>
      <c r="C125" s="49"/>
      <c r="D125" s="48" t="s">
        <v>79</v>
      </c>
      <c r="E125" s="2"/>
      <c r="F125" s="2"/>
      <c r="G125" s="2"/>
      <c r="H125" s="2"/>
      <c r="I125" s="45"/>
    </row>
    <row r="126" spans="1:9" ht="15.75">
      <c r="A126" s="2"/>
      <c r="C126" s="49"/>
      <c r="D126" s="2"/>
      <c r="E126" s="50">
        <v>2</v>
      </c>
      <c r="F126" s="2"/>
      <c r="G126" s="2"/>
      <c r="H126" s="2"/>
      <c r="I126" s="45"/>
    </row>
    <row r="127" spans="1:9" ht="15">
      <c r="A127" s="2"/>
      <c r="B127" s="2"/>
      <c r="C127" s="49"/>
      <c r="D127" s="2"/>
      <c r="E127" s="2"/>
      <c r="F127" s="2"/>
      <c r="G127" s="2"/>
      <c r="H127" s="2"/>
      <c r="I127" s="45"/>
    </row>
    <row r="128" spans="1:2" ht="15.75">
      <c r="A128" s="2"/>
      <c r="B128" s="20" t="s">
        <v>31</v>
      </c>
    </row>
    <row r="129" spans="1:9" ht="15.75">
      <c r="A129" s="2"/>
      <c r="B129" s="20"/>
      <c r="C129" s="49"/>
      <c r="D129" s="31">
        <f>Assumptions!E3+Assumptions!E4/4</f>
        <v>3650</v>
      </c>
      <c r="E129" s="2"/>
      <c r="F129" s="2" t="s">
        <v>59</v>
      </c>
      <c r="G129" s="2"/>
      <c r="H129" s="2"/>
      <c r="I129" s="51"/>
    </row>
    <row r="130" spans="1:9" ht="15">
      <c r="A130" s="2"/>
      <c r="B130" s="2"/>
      <c r="C130" s="49" t="s">
        <v>34</v>
      </c>
      <c r="D130" s="54">
        <v>4</v>
      </c>
      <c r="E130" s="2"/>
      <c r="F130" s="2" t="s">
        <v>142</v>
      </c>
      <c r="G130" s="2"/>
      <c r="H130" s="2"/>
      <c r="I130" s="51"/>
    </row>
    <row r="131" spans="1:9" ht="15">
      <c r="A131" s="2"/>
      <c r="B131" s="2"/>
      <c r="C131" s="39" t="s">
        <v>34</v>
      </c>
      <c r="D131" s="65">
        <f>Assumptions!E9</f>
        <v>0.025</v>
      </c>
      <c r="E131" s="40"/>
      <c r="F131" s="40" t="s">
        <v>62</v>
      </c>
      <c r="G131" s="2"/>
      <c r="H131" s="2"/>
      <c r="I131" s="51"/>
    </row>
    <row r="132" spans="1:9" ht="15.75">
      <c r="A132" s="2"/>
      <c r="B132" s="2"/>
      <c r="C132" s="63" t="s">
        <v>35</v>
      </c>
      <c r="D132" s="27">
        <f>(D129*D130)*D131</f>
        <v>365</v>
      </c>
      <c r="E132" s="2"/>
      <c r="F132" s="20" t="s">
        <v>56</v>
      </c>
      <c r="G132" s="2"/>
      <c r="H132" s="2"/>
      <c r="I132" s="51"/>
    </row>
    <row r="133" spans="1:9" ht="15.75">
      <c r="A133" s="2"/>
      <c r="B133" s="2"/>
      <c r="C133" s="63"/>
      <c r="D133" s="27"/>
      <c r="E133" s="2"/>
      <c r="F133" s="20"/>
      <c r="G133" s="2"/>
      <c r="H133" s="2"/>
      <c r="I133" s="51"/>
    </row>
    <row r="134" spans="1:2" ht="15.75">
      <c r="A134" s="2"/>
      <c r="B134" s="20" t="s">
        <v>32</v>
      </c>
    </row>
    <row r="135" spans="1:9" ht="15">
      <c r="A135" s="2"/>
      <c r="B135" s="2"/>
      <c r="C135" s="2"/>
      <c r="D135" s="31">
        <f>Assumptions!D64</f>
        <v>2975</v>
      </c>
      <c r="E135" s="2"/>
      <c r="F135" s="2" t="s">
        <v>59</v>
      </c>
      <c r="G135" s="2"/>
      <c r="H135" s="2"/>
      <c r="I135" s="51"/>
    </row>
    <row r="136" spans="1:9" ht="15">
      <c r="A136" s="2"/>
      <c r="B136" s="2"/>
      <c r="C136" s="49" t="s">
        <v>38</v>
      </c>
      <c r="D136" s="31">
        <f>Assumptions!G54*Assumptions!D64</f>
        <v>297.5</v>
      </c>
      <c r="E136" s="2"/>
      <c r="F136" s="2" t="s">
        <v>60</v>
      </c>
      <c r="G136" s="2"/>
      <c r="H136" s="2"/>
      <c r="I136" s="51"/>
    </row>
    <row r="137" spans="1:9" ht="15">
      <c r="A137" s="2"/>
      <c r="B137" s="2"/>
      <c r="C137" s="49" t="s">
        <v>42</v>
      </c>
      <c r="D137" s="54">
        <v>2</v>
      </c>
      <c r="E137" s="2"/>
      <c r="F137" s="2" t="s">
        <v>57</v>
      </c>
      <c r="G137" s="2"/>
      <c r="H137" s="2"/>
      <c r="I137" s="51"/>
    </row>
    <row r="138" spans="1:9" ht="15">
      <c r="A138" s="2"/>
      <c r="B138" s="2"/>
      <c r="C138" s="49" t="s">
        <v>34</v>
      </c>
      <c r="D138" s="54">
        <v>4</v>
      </c>
      <c r="E138" s="2"/>
      <c r="F138" s="2" t="s">
        <v>142</v>
      </c>
      <c r="G138" s="2"/>
      <c r="H138" s="2"/>
      <c r="I138" s="51"/>
    </row>
    <row r="139" spans="1:9" ht="15">
      <c r="A139" s="2"/>
      <c r="B139" s="2"/>
      <c r="C139" s="39" t="s">
        <v>34</v>
      </c>
      <c r="D139" s="65">
        <f>Assumptions!E9</f>
        <v>0.025</v>
      </c>
      <c r="E139" s="40"/>
      <c r="F139" s="40" t="s">
        <v>62</v>
      </c>
      <c r="G139" s="2"/>
      <c r="H139" s="2"/>
      <c r="I139" s="51"/>
    </row>
    <row r="140" spans="1:9" ht="15.75">
      <c r="A140" s="2"/>
      <c r="B140" s="2"/>
      <c r="C140" s="58" t="s">
        <v>35</v>
      </c>
      <c r="D140" s="27">
        <f>ROUND(((+D135+D136)/D137)*D138*D139,2)</f>
        <v>163.63</v>
      </c>
      <c r="E140" s="2"/>
      <c r="F140" s="20" t="s">
        <v>56</v>
      </c>
      <c r="G140" s="45"/>
      <c r="H140" s="45"/>
      <c r="I140" s="51"/>
    </row>
    <row r="141" spans="1:9" ht="15.75">
      <c r="A141" s="2"/>
      <c r="B141" s="2"/>
      <c r="C141" s="58"/>
      <c r="D141" s="27"/>
      <c r="E141" s="2"/>
      <c r="F141" s="20"/>
      <c r="G141" s="45"/>
      <c r="H141" s="45"/>
      <c r="I141" s="51"/>
    </row>
    <row r="142" spans="1:9" ht="18">
      <c r="A142" s="2"/>
      <c r="B142" s="310" t="s">
        <v>181</v>
      </c>
      <c r="C142" s="310"/>
      <c r="D142" s="310"/>
      <c r="E142" s="310"/>
      <c r="F142" s="310"/>
      <c r="G142" s="310"/>
      <c r="H142" s="310"/>
      <c r="I142" s="72"/>
    </row>
    <row r="143" spans="1:9" ht="15.75">
      <c r="A143" s="2"/>
      <c r="B143" s="311" t="s">
        <v>386</v>
      </c>
      <c r="C143" s="317"/>
      <c r="D143" s="317"/>
      <c r="E143" s="317"/>
      <c r="F143" s="317"/>
      <c r="G143" s="317"/>
      <c r="H143" s="317"/>
      <c r="I143" s="207"/>
    </row>
    <row r="144" spans="1:9" ht="15.75">
      <c r="A144" s="2"/>
      <c r="B144" s="2"/>
      <c r="C144" s="58"/>
      <c r="D144" s="27"/>
      <c r="E144" s="2"/>
      <c r="F144" s="20"/>
      <c r="G144" s="45"/>
      <c r="H144" s="45"/>
      <c r="I144" s="39" t="s">
        <v>65</v>
      </c>
    </row>
    <row r="145" spans="1:2" ht="15.75">
      <c r="A145" s="2"/>
      <c r="B145" s="20" t="s">
        <v>177</v>
      </c>
    </row>
    <row r="146" spans="1:9" ht="15">
      <c r="A146" s="2"/>
      <c r="B146" s="2"/>
      <c r="C146" s="49"/>
      <c r="D146" s="31">
        <f>Assumptions!D65</f>
        <v>4950</v>
      </c>
      <c r="E146" s="2"/>
      <c r="F146" s="2" t="s">
        <v>59</v>
      </c>
      <c r="G146" s="2"/>
      <c r="H146" s="2"/>
      <c r="I146" s="51"/>
    </row>
    <row r="147" spans="1:9" ht="15">
      <c r="A147" s="2"/>
      <c r="B147" s="2"/>
      <c r="C147" s="49" t="s">
        <v>38</v>
      </c>
      <c r="D147" s="31">
        <f>Assumptions!D65*Assumptions!G61</f>
        <v>495</v>
      </c>
      <c r="E147" s="2"/>
      <c r="F147" s="2" t="s">
        <v>60</v>
      </c>
      <c r="G147" s="2"/>
      <c r="H147" s="2"/>
      <c r="I147" s="51"/>
    </row>
    <row r="148" spans="1:9" ht="15">
      <c r="A148" s="2"/>
      <c r="B148" s="2"/>
      <c r="C148" s="49" t="s">
        <v>42</v>
      </c>
      <c r="D148" s="54">
        <v>2</v>
      </c>
      <c r="E148" s="2"/>
      <c r="F148" s="2" t="s">
        <v>57</v>
      </c>
      <c r="G148" s="2"/>
      <c r="H148" s="2"/>
      <c r="I148" s="51"/>
    </row>
    <row r="149" spans="1:9" ht="15">
      <c r="A149" s="2"/>
      <c r="B149" s="2"/>
      <c r="C149" s="49" t="s">
        <v>34</v>
      </c>
      <c r="D149" s="54">
        <v>4</v>
      </c>
      <c r="E149" s="2"/>
      <c r="F149" s="2" t="s">
        <v>142</v>
      </c>
      <c r="G149" s="2"/>
      <c r="H149" s="2"/>
      <c r="I149" s="51"/>
    </row>
    <row r="150" spans="1:9" ht="15">
      <c r="A150" s="2"/>
      <c r="B150" s="2"/>
      <c r="C150" s="39" t="s">
        <v>34</v>
      </c>
      <c r="D150" s="65">
        <f>Assumptions!E9</f>
        <v>0.025</v>
      </c>
      <c r="E150" s="40"/>
      <c r="F150" s="40" t="s">
        <v>62</v>
      </c>
      <c r="G150" s="2"/>
      <c r="H150" s="2"/>
      <c r="I150" s="51"/>
    </row>
    <row r="151" spans="3:9" ht="15.75">
      <c r="C151" s="58" t="s">
        <v>35</v>
      </c>
      <c r="D151" s="27">
        <f>((+D146+D147)/D148)*D149*D150</f>
        <v>272.25</v>
      </c>
      <c r="E151" s="2"/>
      <c r="F151" s="20" t="s">
        <v>56</v>
      </c>
      <c r="G151" s="2"/>
      <c r="H151" s="2"/>
      <c r="I151" s="51"/>
    </row>
    <row r="152" spans="3:9" ht="15.75">
      <c r="C152" s="58"/>
      <c r="D152" s="27"/>
      <c r="E152" s="2"/>
      <c r="F152" s="20"/>
      <c r="G152" s="2"/>
      <c r="H152" s="2"/>
      <c r="I152" s="51"/>
    </row>
    <row r="153" ht="15.75">
      <c r="A153" s="20" t="s">
        <v>231</v>
      </c>
    </row>
    <row r="154" spans="3:9" ht="15">
      <c r="C154" s="49"/>
      <c r="D154" s="93">
        <f>Establishment!G71</f>
        <v>3.5</v>
      </c>
      <c r="E154" s="2"/>
      <c r="F154" s="2" t="s">
        <v>170</v>
      </c>
      <c r="G154" s="2"/>
      <c r="I154" s="75"/>
    </row>
    <row r="155" spans="3:9" ht="15">
      <c r="C155" s="49" t="s">
        <v>38</v>
      </c>
      <c r="D155" s="93">
        <f>Establishment!G72</f>
        <v>7</v>
      </c>
      <c r="E155" s="2"/>
      <c r="F155" s="2" t="s">
        <v>215</v>
      </c>
      <c r="G155" s="2"/>
      <c r="I155" s="75"/>
    </row>
    <row r="156" spans="3:9" ht="15">
      <c r="C156" s="49" t="s">
        <v>38</v>
      </c>
      <c r="D156" s="94">
        <f>Establishment!G73</f>
        <v>4.5</v>
      </c>
      <c r="F156" s="2" t="s">
        <v>213</v>
      </c>
      <c r="H156" s="2"/>
      <c r="I156" s="51"/>
    </row>
    <row r="157" spans="3:9" ht="15">
      <c r="C157" s="49" t="s">
        <v>38</v>
      </c>
      <c r="D157" s="94">
        <f>Establishment!G74</f>
        <v>13</v>
      </c>
      <c r="F157" s="2" t="s">
        <v>171</v>
      </c>
      <c r="H157" s="2"/>
      <c r="I157" s="51"/>
    </row>
    <row r="158" spans="3:9" ht="15">
      <c r="C158" s="49" t="s">
        <v>38</v>
      </c>
      <c r="D158" s="94">
        <f>Establishment!G75</f>
        <v>10</v>
      </c>
      <c r="F158" t="s">
        <v>305</v>
      </c>
      <c r="H158" s="2"/>
      <c r="I158" s="51"/>
    </row>
    <row r="159" spans="3:9" ht="15">
      <c r="C159" s="49" t="s">
        <v>38</v>
      </c>
      <c r="D159" s="94">
        <f>Establishment!G76</f>
        <v>6.25</v>
      </c>
      <c r="F159" t="s">
        <v>172</v>
      </c>
      <c r="H159" s="2"/>
      <c r="I159" s="51"/>
    </row>
    <row r="160" spans="3:9" ht="15">
      <c r="C160" s="39" t="s">
        <v>34</v>
      </c>
      <c r="D160" s="56">
        <f>Establishment!D79</f>
        <v>17.5</v>
      </c>
      <c r="E160" s="40"/>
      <c r="F160" s="40" t="s">
        <v>53</v>
      </c>
      <c r="G160" s="2"/>
      <c r="H160" s="2"/>
      <c r="I160" s="51"/>
    </row>
    <row r="161" spans="3:7" ht="15.75">
      <c r="C161" s="50" t="s">
        <v>35</v>
      </c>
      <c r="D161" s="53">
        <f>(D154+D155+D156+D157+D158+D159)*D160</f>
        <v>774.375</v>
      </c>
      <c r="E161" s="2"/>
      <c r="F161" s="20" t="s">
        <v>56</v>
      </c>
      <c r="G161" s="2"/>
    </row>
  </sheetData>
  <sheetProtection password="C6A6" sheet="1"/>
  <mergeCells count="8">
    <mergeCell ref="B2:H2"/>
    <mergeCell ref="B1:H1"/>
    <mergeCell ref="B42:H42"/>
    <mergeCell ref="B143:H143"/>
    <mergeCell ref="B43:H43"/>
    <mergeCell ref="B92:H92"/>
    <mergeCell ref="B93:H93"/>
    <mergeCell ref="B142:H142"/>
  </mergeCells>
  <printOptions horizontalCentered="1"/>
  <pageMargins left="0.7480314960629921" right="0.7480314960629921" top="0.984251968503937" bottom="0.984251968503937" header="0.5118110236220472" footer="0.5118110236220472"/>
  <pageSetup firstPageNumber="6" useFirstPageNumber="1" fitToHeight="4" horizontalDpi="600" verticalDpi="600" orientation="portrait" scale="77" r:id="rId1"/>
  <headerFooter alignWithMargins="0">
    <oddHeader>&amp;L&amp;11Guidelines: Saskatoon Production Cost&amp;R&amp;11&amp;P</oddHeader>
    <oddFooter>&amp;R&amp;"Arial,Italic"&amp;11MAFRI, GO Team Branch and Crops Knowledge Centre</oddFooter>
  </headerFooter>
  <rowBreaks count="3" manualBreakCount="3">
    <brk id="41" max="8" man="1"/>
    <brk id="91" max="8" man="1"/>
    <brk id="141" max="8" man="1"/>
  </rowBreaks>
</worksheet>
</file>

<file path=xl/worksheets/sheet6.xml><?xml version="1.0" encoding="utf-8"?>
<worksheet xmlns="http://schemas.openxmlformats.org/spreadsheetml/2006/main" xmlns:r="http://schemas.openxmlformats.org/officeDocument/2006/relationships">
  <sheetPr codeName="Sheet1"/>
  <dimension ref="A1:I69"/>
  <sheetViews>
    <sheetView zoomScaleSheetLayoutView="100" zoomScalePageLayoutView="0" workbookViewId="0" topLeftCell="A1">
      <selection activeCell="I9" sqref="I9"/>
    </sheetView>
  </sheetViews>
  <sheetFormatPr defaultColWidth="9.77734375" defaultRowHeight="15"/>
  <cols>
    <col min="1" max="1" width="2.88671875" style="0" customWidth="1"/>
    <col min="2" max="2" width="18.10546875" style="0" customWidth="1"/>
    <col min="3" max="3" width="10.6640625" style="0" customWidth="1"/>
    <col min="4" max="4" width="9.77734375" style="0" customWidth="1"/>
    <col min="5" max="5" width="11.4453125" style="0" customWidth="1"/>
    <col min="6" max="6" width="9.77734375" style="0" customWidth="1"/>
    <col min="7" max="7" width="11.10546875" style="0" customWidth="1"/>
  </cols>
  <sheetData>
    <row r="1" spans="2:7" ht="18">
      <c r="B1" s="310" t="s">
        <v>181</v>
      </c>
      <c r="C1" s="310"/>
      <c r="D1" s="310"/>
      <c r="E1" s="310"/>
      <c r="F1" s="310"/>
      <c r="G1" s="72"/>
    </row>
    <row r="2" spans="2:7" ht="17.25" customHeight="1">
      <c r="B2" s="311" t="s">
        <v>390</v>
      </c>
      <c r="C2" s="311"/>
      <c r="D2" s="311"/>
      <c r="E2" s="311"/>
      <c r="F2" s="311"/>
      <c r="G2" s="204"/>
    </row>
    <row r="3" spans="1:9" ht="15">
      <c r="A3" s="5"/>
      <c r="B3" s="5"/>
      <c r="C3" s="5"/>
      <c r="D3" s="5"/>
      <c r="E3" s="5"/>
      <c r="F3" s="5"/>
      <c r="G3" s="5"/>
      <c r="H3" s="5"/>
      <c r="I3" s="5"/>
    </row>
    <row r="4" spans="1:9" ht="15.75">
      <c r="A4" s="6" t="s">
        <v>33</v>
      </c>
      <c r="B4" s="5"/>
      <c r="C4" s="5"/>
      <c r="D4" s="5"/>
      <c r="E4" s="5"/>
      <c r="F4" s="5"/>
      <c r="G4" s="5"/>
      <c r="H4" s="5"/>
      <c r="I4" s="5"/>
    </row>
    <row r="5" spans="1:9" ht="15.75">
      <c r="A5" s="6"/>
      <c r="B5" s="5"/>
      <c r="C5" s="5"/>
      <c r="D5" s="5"/>
      <c r="E5" s="5"/>
      <c r="F5" s="5"/>
      <c r="G5" s="5"/>
      <c r="H5" s="5"/>
      <c r="I5" s="5"/>
    </row>
    <row r="6" spans="1:9" ht="15.75">
      <c r="A6" s="6"/>
      <c r="B6" s="7" t="s">
        <v>264</v>
      </c>
      <c r="C6" s="5"/>
      <c r="D6" s="5" t="s">
        <v>187</v>
      </c>
      <c r="E6" s="5"/>
      <c r="F6" s="5"/>
      <c r="G6" s="5"/>
      <c r="H6" s="5"/>
      <c r="I6" s="5"/>
    </row>
    <row r="7" spans="1:9" ht="15.75">
      <c r="A7" s="6"/>
      <c r="B7" s="5"/>
      <c r="C7" s="5"/>
      <c r="D7" s="5"/>
      <c r="E7" s="5"/>
      <c r="F7" s="5"/>
      <c r="G7" s="5"/>
      <c r="H7" s="5"/>
      <c r="I7" s="5"/>
    </row>
    <row r="8" spans="1:9" ht="15.75">
      <c r="A8" s="5"/>
      <c r="B8" s="7" t="s">
        <v>2</v>
      </c>
      <c r="G8" s="5"/>
      <c r="H8" s="5"/>
      <c r="I8" s="5"/>
    </row>
    <row r="9" spans="1:9" ht="15.75">
      <c r="A9" s="5"/>
      <c r="D9" s="9" t="s">
        <v>75</v>
      </c>
      <c r="E9" s="38" t="s">
        <v>1</v>
      </c>
      <c r="F9" s="38"/>
      <c r="G9" s="5"/>
      <c r="H9" s="5"/>
      <c r="I9" s="5"/>
    </row>
    <row r="10" spans="1:9" ht="15.75">
      <c r="A10" s="5"/>
      <c r="C10" s="223" t="s">
        <v>4</v>
      </c>
      <c r="D10" s="279">
        <v>0.64</v>
      </c>
      <c r="E10" s="278">
        <v>25</v>
      </c>
      <c r="F10" s="234"/>
      <c r="G10" s="5"/>
      <c r="H10" s="120"/>
      <c r="I10" s="5"/>
    </row>
    <row r="11" spans="1:9" ht="15.75">
      <c r="A11" s="5"/>
      <c r="C11" s="223" t="s">
        <v>5</v>
      </c>
      <c r="D11" s="279">
        <v>0.53</v>
      </c>
      <c r="E11" s="278">
        <v>50</v>
      </c>
      <c r="F11" s="234"/>
      <c r="G11" s="5"/>
      <c r="H11" s="120"/>
      <c r="I11" s="5"/>
    </row>
    <row r="12" spans="1:9" ht="15.75">
      <c r="A12" s="5"/>
      <c r="C12" s="223" t="s">
        <v>6</v>
      </c>
      <c r="D12" s="281">
        <v>0.49</v>
      </c>
      <c r="E12" s="278">
        <v>45</v>
      </c>
      <c r="F12" s="234"/>
      <c r="G12" s="5"/>
      <c r="H12" s="120"/>
      <c r="I12" s="5"/>
    </row>
    <row r="13" spans="1:9" ht="15.75">
      <c r="A13" s="5"/>
      <c r="C13" s="223" t="s">
        <v>7</v>
      </c>
      <c r="D13" s="281">
        <v>0.43</v>
      </c>
      <c r="E13" s="278">
        <v>0</v>
      </c>
      <c r="F13" s="234"/>
      <c r="G13" s="5"/>
      <c r="H13" s="120"/>
      <c r="I13" s="5"/>
    </row>
    <row r="14" spans="1:9" ht="15">
      <c r="A14" s="5"/>
      <c r="C14" s="222"/>
      <c r="D14" s="222"/>
      <c r="E14" s="222"/>
      <c r="F14" s="222"/>
      <c r="H14" s="5"/>
      <c r="I14" s="5"/>
    </row>
    <row r="15" spans="1:9" ht="15.75">
      <c r="A15" s="5"/>
      <c r="B15" s="12" t="s">
        <v>83</v>
      </c>
      <c r="C15" s="222"/>
      <c r="D15" s="277">
        <v>0</v>
      </c>
      <c r="E15" s="235" t="s">
        <v>82</v>
      </c>
      <c r="F15" s="222"/>
      <c r="G15" s="5"/>
      <c r="H15" s="5"/>
      <c r="I15" s="5"/>
    </row>
    <row r="16" spans="1:9" ht="15.75">
      <c r="A16" s="5"/>
      <c r="B16" s="6"/>
      <c r="C16" s="222"/>
      <c r="D16" s="228"/>
      <c r="E16" s="235"/>
      <c r="F16" s="222"/>
      <c r="G16" s="5"/>
      <c r="H16" s="5"/>
      <c r="I16" s="5"/>
    </row>
    <row r="17" spans="1:9" ht="15.75">
      <c r="A17" s="5"/>
      <c r="B17" s="7" t="s">
        <v>70</v>
      </c>
      <c r="C17" s="223"/>
      <c r="D17" s="223"/>
      <c r="E17" s="233"/>
      <c r="F17" s="233"/>
      <c r="G17" s="5"/>
      <c r="H17" s="5"/>
      <c r="I17" s="5"/>
    </row>
    <row r="18" spans="1:9" ht="15.75">
      <c r="A18" s="5"/>
      <c r="B18" s="5"/>
      <c r="C18" s="242" t="s">
        <v>203</v>
      </c>
      <c r="D18" s="222"/>
      <c r="E18" s="281">
        <v>6</v>
      </c>
      <c r="F18" s="225"/>
      <c r="G18" s="5"/>
      <c r="H18" s="5"/>
      <c r="I18" s="5"/>
    </row>
    <row r="19" spans="1:9" ht="15.75">
      <c r="A19" s="5"/>
      <c r="B19" s="5"/>
      <c r="C19" s="242"/>
      <c r="D19" s="222"/>
      <c r="E19" s="281">
        <v>0</v>
      </c>
      <c r="F19" s="225"/>
      <c r="G19" s="5"/>
      <c r="H19" s="5"/>
      <c r="I19" s="5"/>
    </row>
    <row r="20" spans="1:9" ht="15.75">
      <c r="A20" s="5"/>
      <c r="B20" s="5"/>
      <c r="C20" s="242"/>
      <c r="D20" s="222"/>
      <c r="E20" s="225"/>
      <c r="F20" s="225"/>
      <c r="G20" s="5"/>
      <c r="H20" s="5"/>
      <c r="I20" s="5"/>
    </row>
    <row r="21" spans="1:9" ht="15.75">
      <c r="A21" s="5"/>
      <c r="B21" s="6" t="s">
        <v>122</v>
      </c>
      <c r="C21" s="222"/>
      <c r="D21" s="222"/>
      <c r="E21" s="222"/>
      <c r="F21" s="222"/>
      <c r="G21" s="5"/>
      <c r="H21" s="5"/>
      <c r="I21" s="5"/>
    </row>
    <row r="22" spans="1:9" ht="15.75">
      <c r="A22" s="5"/>
      <c r="B22" s="6"/>
      <c r="C22" s="222" t="s">
        <v>222</v>
      </c>
      <c r="D22" s="222"/>
      <c r="E22" s="286">
        <v>15</v>
      </c>
      <c r="F22" s="222" t="s">
        <v>316</v>
      </c>
      <c r="G22" s="5"/>
      <c r="H22" s="5" t="s">
        <v>312</v>
      </c>
      <c r="I22" s="5"/>
    </row>
    <row r="23" spans="1:9" ht="15.75">
      <c r="A23" s="5"/>
      <c r="B23" s="6"/>
      <c r="C23" s="222"/>
      <c r="D23" s="222"/>
      <c r="E23" s="286">
        <v>0</v>
      </c>
      <c r="F23" s="222"/>
      <c r="G23" s="5"/>
      <c r="H23" s="5" t="s">
        <v>313</v>
      </c>
      <c r="I23" s="5"/>
    </row>
    <row r="24" spans="1:9" ht="15.75">
      <c r="A24" s="5"/>
      <c r="B24" s="6"/>
      <c r="C24" s="222"/>
      <c r="D24" s="222"/>
      <c r="E24" s="286">
        <v>0</v>
      </c>
      <c r="F24" s="222"/>
      <c r="G24" s="5"/>
      <c r="H24" s="5"/>
      <c r="I24" s="5"/>
    </row>
    <row r="25" spans="1:9" ht="15.75">
      <c r="A25" s="5"/>
      <c r="B25" s="6"/>
      <c r="C25" s="222"/>
      <c r="D25" s="241"/>
      <c r="E25" s="222"/>
      <c r="F25" s="222"/>
      <c r="G25" s="5"/>
      <c r="H25" s="5"/>
      <c r="I25" s="5"/>
    </row>
    <row r="26" spans="1:9" ht="15.75">
      <c r="A26" s="5"/>
      <c r="B26" s="6" t="s">
        <v>143</v>
      </c>
      <c r="C26" s="222"/>
      <c r="D26" s="241"/>
      <c r="E26" s="222"/>
      <c r="F26" s="222"/>
      <c r="G26" s="5"/>
      <c r="H26" s="5"/>
      <c r="I26" s="5"/>
    </row>
    <row r="27" spans="1:9" ht="15.75">
      <c r="A27" s="5"/>
      <c r="C27" s="223" t="s">
        <v>310</v>
      </c>
      <c r="D27" s="222"/>
      <c r="E27" s="291">
        <v>23</v>
      </c>
      <c r="F27" s="222" t="s">
        <v>316</v>
      </c>
      <c r="G27" s="5"/>
      <c r="H27" t="s">
        <v>318</v>
      </c>
      <c r="I27" s="5"/>
    </row>
    <row r="28" spans="1:9" ht="15.75">
      <c r="A28" s="5"/>
      <c r="C28" s="223" t="s">
        <v>311</v>
      </c>
      <c r="D28" s="222"/>
      <c r="E28" s="291">
        <v>16</v>
      </c>
      <c r="F28" s="222" t="s">
        <v>316</v>
      </c>
      <c r="G28" s="5"/>
      <c r="H28" s="5" t="s">
        <v>319</v>
      </c>
      <c r="I28" s="5"/>
    </row>
    <row r="29" spans="1:9" ht="15.75">
      <c r="A29" s="5"/>
      <c r="B29" s="5"/>
      <c r="C29" s="223"/>
      <c r="D29" s="243"/>
      <c r="E29" s="243"/>
      <c r="F29" s="243"/>
      <c r="G29" s="5"/>
      <c r="H29" s="5"/>
      <c r="I29" s="5"/>
    </row>
    <row r="30" spans="1:9" ht="15.75">
      <c r="A30" s="5"/>
      <c r="B30" s="7" t="s">
        <v>144</v>
      </c>
      <c r="C30" s="223"/>
      <c r="D30" s="223"/>
      <c r="E30" s="223"/>
      <c r="F30" s="223"/>
      <c r="G30" s="5"/>
      <c r="H30" s="5"/>
      <c r="I30" s="5"/>
    </row>
    <row r="31" spans="1:9" ht="15.75">
      <c r="A31" s="5"/>
      <c r="B31" s="5" t="s">
        <v>110</v>
      </c>
      <c r="C31" s="222"/>
      <c r="D31" s="222"/>
      <c r="E31" s="222"/>
      <c r="F31" s="279">
        <v>0.98</v>
      </c>
      <c r="H31" s="5"/>
      <c r="I31" s="5"/>
    </row>
    <row r="32" spans="1:9" ht="15">
      <c r="A32" s="5"/>
      <c r="C32" s="222"/>
      <c r="D32" s="223"/>
      <c r="E32" s="223"/>
      <c r="F32" s="223"/>
      <c r="H32" s="5"/>
      <c r="I32" s="5"/>
    </row>
    <row r="33" spans="1:9" ht="15.75">
      <c r="A33" s="5"/>
      <c r="B33" s="7"/>
      <c r="C33" s="233" t="s">
        <v>8</v>
      </c>
      <c r="D33" s="233" t="s">
        <v>9</v>
      </c>
      <c r="E33" s="233" t="s">
        <v>10</v>
      </c>
      <c r="F33" s="233" t="s">
        <v>11</v>
      </c>
      <c r="G33" s="5"/>
      <c r="H33" s="5"/>
      <c r="I33" s="5"/>
    </row>
    <row r="34" spans="1:9" ht="15.75">
      <c r="A34" s="5"/>
      <c r="B34" s="30" t="s">
        <v>90</v>
      </c>
      <c r="C34" s="233" t="s">
        <v>13</v>
      </c>
      <c r="D34" s="233" t="s">
        <v>14</v>
      </c>
      <c r="E34" s="233" t="s">
        <v>15</v>
      </c>
      <c r="F34" s="244" t="s">
        <v>16</v>
      </c>
      <c r="G34" s="5"/>
      <c r="H34" s="5"/>
      <c r="I34" s="5"/>
    </row>
    <row r="35" spans="1:9" ht="15.75">
      <c r="A35" s="5"/>
      <c r="C35" s="227"/>
      <c r="D35" s="227"/>
      <c r="E35" s="227"/>
      <c r="F35" s="227"/>
      <c r="G35" s="5"/>
      <c r="H35" s="5"/>
      <c r="I35" s="5"/>
    </row>
    <row r="36" spans="1:9" ht="15.75">
      <c r="A36" s="5"/>
      <c r="B36" s="5" t="s">
        <v>18</v>
      </c>
      <c r="C36" s="288">
        <v>5</v>
      </c>
      <c r="D36" s="288">
        <v>25</v>
      </c>
      <c r="E36" s="288">
        <v>4</v>
      </c>
      <c r="F36" s="288">
        <v>40</v>
      </c>
      <c r="G36" s="5"/>
      <c r="H36" s="5"/>
      <c r="I36" s="5"/>
    </row>
    <row r="37" spans="1:9" ht="15.75">
      <c r="A37" s="5"/>
      <c r="B37" s="5" t="s">
        <v>100</v>
      </c>
      <c r="C37" s="288">
        <v>6</v>
      </c>
      <c r="D37" s="288">
        <v>6</v>
      </c>
      <c r="E37" s="288">
        <v>4</v>
      </c>
      <c r="F37" s="288">
        <v>40</v>
      </c>
      <c r="G37" s="5"/>
      <c r="H37" s="5"/>
      <c r="I37" s="5"/>
    </row>
    <row r="38" spans="1:9" ht="15.75">
      <c r="A38" s="5"/>
      <c r="B38" s="5" t="s">
        <v>223</v>
      </c>
      <c r="C38" s="288">
        <v>2</v>
      </c>
      <c r="D38" s="288">
        <v>16.5</v>
      </c>
      <c r="E38" s="288">
        <v>2</v>
      </c>
      <c r="F38" s="288">
        <v>40</v>
      </c>
      <c r="G38" s="5"/>
      <c r="H38" s="5"/>
      <c r="I38" s="5"/>
    </row>
    <row r="39" spans="1:9" ht="15.75">
      <c r="A39" s="5"/>
      <c r="B39" s="5"/>
      <c r="C39" s="223"/>
      <c r="D39" s="223"/>
      <c r="E39" s="223"/>
      <c r="F39" s="225"/>
      <c r="G39" s="5"/>
      <c r="H39" s="5"/>
      <c r="I39" s="5"/>
    </row>
    <row r="40" spans="1:9" ht="15.75">
      <c r="A40" s="5"/>
      <c r="B40" s="6" t="s">
        <v>106</v>
      </c>
      <c r="C40" s="223"/>
      <c r="D40" s="223"/>
      <c r="E40" s="223"/>
      <c r="F40" s="223"/>
      <c r="G40" s="12"/>
      <c r="H40" s="5"/>
      <c r="I40" s="5"/>
    </row>
    <row r="41" spans="1:9" ht="15.75">
      <c r="A41" s="5"/>
      <c r="B41" s="12" t="s">
        <v>151</v>
      </c>
      <c r="C41" s="222"/>
      <c r="D41" s="223"/>
      <c r="E41" s="223"/>
      <c r="F41" s="288">
        <v>1</v>
      </c>
      <c r="H41" s="5"/>
      <c r="I41" s="5"/>
    </row>
    <row r="42" spans="1:9" ht="15.75">
      <c r="A42" s="5"/>
      <c r="B42" s="12" t="s">
        <v>152</v>
      </c>
      <c r="C42" s="222"/>
      <c r="D42" s="223"/>
      <c r="E42" s="223"/>
      <c r="F42" s="292">
        <v>2</v>
      </c>
      <c r="H42" s="5"/>
      <c r="I42" s="5"/>
    </row>
    <row r="43" spans="1:9" ht="15.75">
      <c r="A43" s="5"/>
      <c r="B43" s="12" t="s">
        <v>153</v>
      </c>
      <c r="C43" s="222"/>
      <c r="D43" s="223"/>
      <c r="E43" s="223"/>
      <c r="F43" s="281">
        <v>5</v>
      </c>
      <c r="H43" s="5"/>
      <c r="I43" s="5"/>
    </row>
    <row r="44" spans="1:9" ht="18">
      <c r="A44" s="5"/>
      <c r="B44" s="310" t="s">
        <v>181</v>
      </c>
      <c r="C44" s="310"/>
      <c r="D44" s="310"/>
      <c r="E44" s="310"/>
      <c r="F44" s="310"/>
      <c r="G44" s="206"/>
      <c r="H44" s="5"/>
      <c r="I44" s="5"/>
    </row>
    <row r="45" spans="1:9" ht="18">
      <c r="A45" s="5"/>
      <c r="B45" s="311" t="s">
        <v>390</v>
      </c>
      <c r="C45" s="311"/>
      <c r="D45" s="311"/>
      <c r="E45" s="311"/>
      <c r="F45" s="311"/>
      <c r="G45" s="5"/>
      <c r="H45" s="5"/>
      <c r="I45" s="5"/>
    </row>
    <row r="46" spans="1:9" ht="15.75">
      <c r="A46" s="5"/>
      <c r="B46" s="5"/>
      <c r="C46" s="5"/>
      <c r="D46" s="5"/>
      <c r="E46" s="5"/>
      <c r="F46" s="3"/>
      <c r="G46" s="5"/>
      <c r="H46" s="5"/>
      <c r="I46" s="5"/>
    </row>
    <row r="47" spans="1:9" ht="15.75">
      <c r="A47" s="5"/>
      <c r="B47" s="6" t="s">
        <v>154</v>
      </c>
      <c r="C47" s="5"/>
      <c r="D47" s="5"/>
      <c r="E47" s="5"/>
      <c r="F47" s="3"/>
      <c r="H47" s="5"/>
      <c r="I47" s="5"/>
    </row>
    <row r="48" spans="1:9" ht="15.75">
      <c r="A48" s="5"/>
      <c r="B48" s="6"/>
      <c r="C48" s="222" t="s">
        <v>224</v>
      </c>
      <c r="D48" s="222"/>
      <c r="E48" s="222"/>
      <c r="F48" s="225"/>
      <c r="G48" s="5"/>
      <c r="H48" s="5"/>
      <c r="I48" s="5"/>
    </row>
    <row r="49" spans="1:9" ht="15">
      <c r="A49" s="5"/>
      <c r="B49" s="5"/>
      <c r="C49" s="222"/>
      <c r="D49" s="222"/>
      <c r="E49" s="222"/>
      <c r="F49" s="245"/>
      <c r="G49" s="5"/>
      <c r="H49" s="5"/>
      <c r="I49" s="5"/>
    </row>
    <row r="50" spans="1:9" ht="15">
      <c r="A50" s="5"/>
      <c r="B50" s="5"/>
      <c r="C50" s="222"/>
      <c r="D50" s="222"/>
      <c r="E50" s="222"/>
      <c r="F50" s="222"/>
      <c r="G50" s="5"/>
      <c r="H50" s="5"/>
      <c r="I50" s="5"/>
    </row>
    <row r="51" spans="1:9" ht="15.75">
      <c r="A51" s="5"/>
      <c r="B51" s="7" t="s">
        <v>389</v>
      </c>
      <c r="C51" s="223"/>
      <c r="D51" s="223"/>
      <c r="E51" s="223"/>
      <c r="F51" s="223"/>
      <c r="G51" s="5"/>
      <c r="H51" s="5"/>
      <c r="I51" s="5"/>
    </row>
    <row r="52" spans="1:9" ht="15.75">
      <c r="A52" s="5"/>
      <c r="B52" s="5"/>
      <c r="C52" s="223" t="s">
        <v>84</v>
      </c>
      <c r="D52" s="223"/>
      <c r="E52" s="223"/>
      <c r="F52" s="280">
        <v>0.015</v>
      </c>
      <c r="G52" s="5"/>
      <c r="H52" s="5"/>
      <c r="I52" s="5"/>
    </row>
    <row r="53" spans="1:9" ht="15">
      <c r="A53" s="5"/>
      <c r="B53" s="5"/>
      <c r="C53" s="223"/>
      <c r="D53" s="223"/>
      <c r="E53" s="223"/>
      <c r="F53" s="223"/>
      <c r="G53" s="5"/>
      <c r="H53" s="5"/>
      <c r="I53" s="5"/>
    </row>
    <row r="54" spans="1:9" ht="15.75">
      <c r="A54" s="5"/>
      <c r="B54" s="7" t="s">
        <v>162</v>
      </c>
      <c r="C54" s="223"/>
      <c r="D54" s="223"/>
      <c r="E54" s="223"/>
      <c r="F54" s="225"/>
      <c r="G54" s="5"/>
      <c r="H54" s="5"/>
      <c r="I54" s="5"/>
    </row>
    <row r="55" spans="1:9" ht="15.75">
      <c r="A55" s="5"/>
      <c r="B55" s="7"/>
      <c r="C55" s="223" t="s">
        <v>156</v>
      </c>
      <c r="D55" s="223"/>
      <c r="E55" s="223"/>
      <c r="F55" s="282">
        <v>0</v>
      </c>
      <c r="G55" s="5"/>
      <c r="H55" s="5"/>
      <c r="I55" s="5"/>
    </row>
    <row r="56" spans="3:7" ht="15">
      <c r="C56" s="223"/>
      <c r="D56" s="223"/>
      <c r="E56" s="223"/>
      <c r="F56" s="223"/>
      <c r="G56" s="5"/>
    </row>
    <row r="57" spans="2:7" ht="15.75">
      <c r="B57" s="7" t="s">
        <v>24</v>
      </c>
      <c r="C57" s="223"/>
      <c r="D57" s="223"/>
      <c r="E57" s="246"/>
      <c r="F57" s="247"/>
      <c r="G57" s="5"/>
    </row>
    <row r="58" spans="2:7" ht="15.75">
      <c r="B58" s="5"/>
      <c r="C58" s="223" t="s">
        <v>49</v>
      </c>
      <c r="D58" s="222"/>
      <c r="E58" s="281">
        <v>17.5</v>
      </c>
      <c r="F58" s="225"/>
      <c r="G58" s="5"/>
    </row>
    <row r="59" spans="3:6" ht="15">
      <c r="C59" s="222"/>
      <c r="D59" s="222"/>
      <c r="E59" s="222"/>
      <c r="F59" s="222"/>
    </row>
    <row r="60" spans="3:6" ht="15.75">
      <c r="C60" s="222"/>
      <c r="D60" s="222"/>
      <c r="E60" s="224" t="s">
        <v>173</v>
      </c>
      <c r="F60" s="222"/>
    </row>
    <row r="61" spans="3:6" ht="15.75">
      <c r="C61" s="222" t="s">
        <v>95</v>
      </c>
      <c r="D61" s="222"/>
      <c r="E61" s="274">
        <v>1</v>
      </c>
      <c r="F61" s="222"/>
    </row>
    <row r="62" spans="3:6" ht="15.75">
      <c r="C62" s="222" t="s">
        <v>214</v>
      </c>
      <c r="D62" s="222"/>
      <c r="E62" s="274">
        <v>3</v>
      </c>
      <c r="F62" s="222"/>
    </row>
    <row r="63" spans="3:6" ht="15.75">
      <c r="C63" s="222" t="s">
        <v>100</v>
      </c>
      <c r="D63" s="222"/>
      <c r="E63" s="274">
        <v>1.5</v>
      </c>
      <c r="F63" s="222"/>
    </row>
    <row r="64" spans="3:6" ht="15.75">
      <c r="C64" s="222" t="s">
        <v>97</v>
      </c>
      <c r="D64" s="222"/>
      <c r="E64" s="274">
        <v>3</v>
      </c>
      <c r="F64" s="222"/>
    </row>
    <row r="65" spans="3:6" ht="15.75">
      <c r="C65" s="222" t="s">
        <v>225</v>
      </c>
      <c r="D65" s="222"/>
      <c r="E65" s="274">
        <v>20</v>
      </c>
      <c r="F65" s="222"/>
    </row>
    <row r="66" spans="3:8" ht="15.75">
      <c r="C66" s="222" t="s">
        <v>223</v>
      </c>
      <c r="D66" s="222"/>
      <c r="E66" s="274">
        <v>4.5</v>
      </c>
      <c r="F66" s="222"/>
      <c r="H66" s="119"/>
    </row>
    <row r="67" spans="2:8" ht="15.75">
      <c r="B67" s="95"/>
      <c r="C67" s="211" t="s">
        <v>274</v>
      </c>
      <c r="D67" s="211"/>
      <c r="E67" s="293">
        <v>5</v>
      </c>
      <c r="F67" s="222"/>
      <c r="H67" s="222" t="s">
        <v>395</v>
      </c>
    </row>
    <row r="68" spans="3:8" ht="15.75">
      <c r="C68" s="222" t="s">
        <v>90</v>
      </c>
      <c r="D68" s="222"/>
      <c r="E68" s="276">
        <f>'Production Costs'!L53</f>
        <v>3.606060606060606</v>
      </c>
      <c r="F68" s="222"/>
      <c r="H68" t="s">
        <v>394</v>
      </c>
    </row>
    <row r="69" spans="3:6" ht="15.75">
      <c r="C69" s="222" t="s">
        <v>160</v>
      </c>
      <c r="D69" s="222"/>
      <c r="E69" s="239">
        <f>SUM(E61:E68)</f>
        <v>41.60606060606061</v>
      </c>
      <c r="F69" s="222"/>
    </row>
  </sheetData>
  <sheetProtection password="C6A6" sheet="1"/>
  <mergeCells count="4">
    <mergeCell ref="B44:F44"/>
    <mergeCell ref="B45:F45"/>
    <mergeCell ref="B1:F1"/>
    <mergeCell ref="B2:F2"/>
  </mergeCells>
  <printOptions horizontalCentered="1"/>
  <pageMargins left="0.7480314960629921" right="0.7480314960629921" top="0.984251968503937" bottom="0.984251968503937" header="0.5118110236220472" footer="0.5118110236220472"/>
  <pageSetup firstPageNumber="10" useFirstPageNumber="1" fitToHeight="2" horizontalDpi="300" verticalDpi="300" orientation="portrait" scale="97" r:id="rId3"/>
  <headerFooter alignWithMargins="0">
    <oddHeader>&amp;L&amp;11Guidelines: Saskatoon Production Costs&amp;R&amp;11&amp;P</oddHeader>
    <oddFooter>&amp;R&amp;"Arial,Italic"&amp;11MAFRI, GO Team Branch and Crops Knowledge Centre</oddFooter>
  </headerFooter>
  <rowBreaks count="1" manualBreakCount="1">
    <brk id="43" max="6" man="1"/>
  </rowBreaks>
  <legacyDrawing r:id="rId2"/>
</worksheet>
</file>

<file path=xl/worksheets/sheet7.xml><?xml version="1.0" encoding="utf-8"?>
<worksheet xmlns="http://schemas.openxmlformats.org/spreadsheetml/2006/main" xmlns:r="http://schemas.openxmlformats.org/officeDocument/2006/relationships">
  <sheetPr codeName="Sheet31"/>
  <dimension ref="A1:M149"/>
  <sheetViews>
    <sheetView zoomScalePageLayoutView="0" workbookViewId="0" topLeftCell="A1">
      <selection activeCell="K18" sqref="K18"/>
    </sheetView>
  </sheetViews>
  <sheetFormatPr defaultColWidth="8.88671875" defaultRowHeight="15"/>
  <cols>
    <col min="1" max="1" width="3.10546875" style="2" customWidth="1"/>
    <col min="2" max="2" width="15.6640625" style="2" customWidth="1"/>
    <col min="3" max="3" width="3.5546875" style="2" customWidth="1"/>
    <col min="4" max="4" width="9.88671875" style="2" customWidth="1"/>
    <col min="5" max="5" width="2.21484375" style="2" customWidth="1"/>
    <col min="6" max="6" width="12.6640625" style="2" customWidth="1"/>
    <col min="7" max="7" width="10.10546875" style="2" customWidth="1"/>
    <col min="8" max="8" width="9.88671875" style="2" customWidth="1"/>
    <col min="9" max="9" width="12.88671875" style="2" customWidth="1"/>
    <col min="10" max="10" width="8.88671875" style="2" customWidth="1"/>
    <col min="11" max="11" width="10.4453125" style="2" customWidth="1"/>
    <col min="12" max="16384" width="8.88671875" style="2" customWidth="1"/>
  </cols>
  <sheetData>
    <row r="1" spans="2:9" ht="18">
      <c r="B1" s="310" t="s">
        <v>181</v>
      </c>
      <c r="C1" s="310"/>
      <c r="D1" s="310"/>
      <c r="E1" s="310"/>
      <c r="F1" s="310"/>
      <c r="G1" s="310"/>
      <c r="H1" s="310"/>
      <c r="I1" s="49"/>
    </row>
    <row r="2" spans="1:9" ht="18" customHeight="1">
      <c r="A2" s="204"/>
      <c r="B2" s="311" t="s">
        <v>391</v>
      </c>
      <c r="C2" s="311"/>
      <c r="D2" s="311"/>
      <c r="E2" s="311"/>
      <c r="F2" s="311"/>
      <c r="G2" s="311"/>
      <c r="H2" s="311"/>
      <c r="I2" s="205"/>
    </row>
    <row r="4" spans="1:9" ht="15.75">
      <c r="A4" s="20" t="s">
        <v>228</v>
      </c>
      <c r="I4" s="39" t="s">
        <v>65</v>
      </c>
    </row>
    <row r="5" spans="3:9" ht="15.75">
      <c r="C5" s="50"/>
      <c r="D5" s="53"/>
      <c r="E5" s="20"/>
      <c r="F5" s="20"/>
      <c r="I5" s="45"/>
    </row>
    <row r="6" ht="15.75">
      <c r="B6" s="20" t="s">
        <v>26</v>
      </c>
    </row>
    <row r="7" spans="2:9" ht="15.75">
      <c r="B7" s="20" t="s">
        <v>36</v>
      </c>
      <c r="C7" s="49"/>
      <c r="D7" s="54">
        <f>Production!E10</f>
        <v>25</v>
      </c>
      <c r="E7" s="40"/>
      <c r="F7" s="2" t="s">
        <v>71</v>
      </c>
      <c r="I7" s="51"/>
    </row>
    <row r="8" spans="3:9" ht="15">
      <c r="C8" s="39" t="s">
        <v>34</v>
      </c>
      <c r="D8" s="57">
        <f>Production!D10</f>
        <v>0.64</v>
      </c>
      <c r="E8" s="40"/>
      <c r="F8" s="40" t="s">
        <v>72</v>
      </c>
      <c r="I8" s="51"/>
    </row>
    <row r="9" spans="3:9" ht="15">
      <c r="C9" s="49" t="s">
        <v>35</v>
      </c>
      <c r="D9" s="24">
        <f>ROUND(D7*D8,2)</f>
        <v>16</v>
      </c>
      <c r="F9" s="2" t="s">
        <v>56</v>
      </c>
      <c r="I9" s="51"/>
    </row>
    <row r="10" spans="3:9" ht="15">
      <c r="C10" s="49"/>
      <c r="D10" s="55"/>
      <c r="I10" s="45"/>
    </row>
    <row r="11" spans="2:9" ht="18.75">
      <c r="B11" s="20" t="s">
        <v>86</v>
      </c>
      <c r="C11" s="49"/>
      <c r="D11" s="54">
        <f>Production!E11</f>
        <v>50</v>
      </c>
      <c r="F11" s="2" t="s">
        <v>71</v>
      </c>
      <c r="I11" s="51"/>
    </row>
    <row r="12" spans="3:9" ht="15">
      <c r="C12" s="39" t="s">
        <v>34</v>
      </c>
      <c r="D12" s="57">
        <f>Production!D11</f>
        <v>0.53</v>
      </c>
      <c r="F12" s="40" t="s">
        <v>72</v>
      </c>
      <c r="I12" s="51"/>
    </row>
    <row r="13" spans="3:9" ht="15">
      <c r="C13" s="49" t="s">
        <v>35</v>
      </c>
      <c r="D13" s="24">
        <f>ROUND(D11*D12,2)</f>
        <v>26.5</v>
      </c>
      <c r="F13" s="2" t="s">
        <v>56</v>
      </c>
      <c r="I13" s="51"/>
    </row>
    <row r="14" spans="3:9" ht="15">
      <c r="C14" s="49"/>
      <c r="D14" s="55"/>
      <c r="I14" s="45"/>
    </row>
    <row r="15" spans="2:9" ht="18.75">
      <c r="B15" s="20" t="s">
        <v>87</v>
      </c>
      <c r="C15" s="49" t="s">
        <v>38</v>
      </c>
      <c r="D15" s="54">
        <f>Production!E12</f>
        <v>45</v>
      </c>
      <c r="F15" s="2" t="s">
        <v>71</v>
      </c>
      <c r="I15" s="51"/>
    </row>
    <row r="16" spans="3:9" ht="15">
      <c r="C16" s="39" t="s">
        <v>34</v>
      </c>
      <c r="D16" s="57">
        <f>Production!D12</f>
        <v>0.49</v>
      </c>
      <c r="F16" s="40" t="s">
        <v>72</v>
      </c>
      <c r="I16" s="51"/>
    </row>
    <row r="17" spans="3:9" ht="15">
      <c r="C17" s="49" t="s">
        <v>35</v>
      </c>
      <c r="D17" s="24">
        <f>ROUND(D15*D16,2)</f>
        <v>22.05</v>
      </c>
      <c r="F17" s="2" t="s">
        <v>56</v>
      </c>
      <c r="I17" s="51"/>
    </row>
    <row r="18" spans="3:9" ht="15">
      <c r="C18" s="49"/>
      <c r="D18" s="55"/>
      <c r="I18" s="45"/>
    </row>
    <row r="19" spans="2:9" ht="15.75">
      <c r="B19" s="20" t="s">
        <v>37</v>
      </c>
      <c r="C19" s="49"/>
      <c r="D19" s="54">
        <f>Production!E13</f>
        <v>0</v>
      </c>
      <c r="F19" s="2" t="s">
        <v>71</v>
      </c>
      <c r="I19" s="51"/>
    </row>
    <row r="20" spans="3:9" ht="15">
      <c r="C20" s="39" t="s">
        <v>34</v>
      </c>
      <c r="D20" s="57">
        <f>Production!D13</f>
        <v>0.43</v>
      </c>
      <c r="F20" s="40" t="s">
        <v>72</v>
      </c>
      <c r="I20" s="51"/>
    </row>
    <row r="21" spans="3:9" ht="15">
      <c r="C21" s="49" t="s">
        <v>35</v>
      </c>
      <c r="D21" s="24">
        <f>ROUND(D19*D20,2)</f>
        <v>0</v>
      </c>
      <c r="F21" s="2" t="s">
        <v>56</v>
      </c>
      <c r="I21" s="51"/>
    </row>
    <row r="22" spans="3:9" ht="15">
      <c r="C22" s="49"/>
      <c r="D22" s="55"/>
      <c r="I22" s="45"/>
    </row>
    <row r="23" spans="2:6" ht="15">
      <c r="B23" s="59" t="s">
        <v>83</v>
      </c>
      <c r="C23" s="49" t="s">
        <v>35</v>
      </c>
      <c r="D23" s="24">
        <f>Production!D15</f>
        <v>0</v>
      </c>
      <c r="F23" s="2" t="s">
        <v>56</v>
      </c>
    </row>
    <row r="24" spans="2:4" ht="15">
      <c r="B24" s="59"/>
      <c r="C24" s="49"/>
      <c r="D24" s="24"/>
    </row>
    <row r="25" spans="2:9" ht="15.75">
      <c r="B25" s="22" t="s">
        <v>78</v>
      </c>
      <c r="C25" s="49" t="s">
        <v>35</v>
      </c>
      <c r="D25" s="53">
        <f>D9+D13+D17+D21+D23</f>
        <v>64.55</v>
      </c>
      <c r="F25" s="20" t="s">
        <v>56</v>
      </c>
      <c r="I25" s="52"/>
    </row>
    <row r="26" spans="3:9" ht="15.75">
      <c r="C26" s="50"/>
      <c r="D26" s="29"/>
      <c r="E26" s="20"/>
      <c r="F26" s="20"/>
      <c r="I26" s="51"/>
    </row>
    <row r="27" ht="15.75">
      <c r="B27" s="20" t="s">
        <v>70</v>
      </c>
    </row>
    <row r="28" spans="3:9" ht="15">
      <c r="C28" s="49"/>
      <c r="D28" s="24">
        <f>Production!E18</f>
        <v>6</v>
      </c>
      <c r="F28" s="2" t="s">
        <v>331</v>
      </c>
      <c r="I28" s="51"/>
    </row>
    <row r="29" spans="3:10" ht="15">
      <c r="C29" s="39" t="s">
        <v>38</v>
      </c>
      <c r="D29" s="25">
        <f>Production!E19</f>
        <v>0</v>
      </c>
      <c r="E29" s="40"/>
      <c r="F29" s="40"/>
      <c r="I29" s="51"/>
      <c r="J29" s="138"/>
    </row>
    <row r="30" spans="3:9" ht="15.75">
      <c r="C30" s="49" t="s">
        <v>35</v>
      </c>
      <c r="D30" s="27">
        <f>D28+D29</f>
        <v>6</v>
      </c>
      <c r="F30" s="20" t="s">
        <v>56</v>
      </c>
      <c r="I30" s="51"/>
    </row>
    <row r="32" spans="2:4" ht="15.75">
      <c r="B32" s="20" t="s">
        <v>122</v>
      </c>
      <c r="C32" s="49"/>
      <c r="D32" s="55"/>
    </row>
    <row r="33" spans="3:9" ht="15.75">
      <c r="C33" s="50"/>
      <c r="D33" s="31">
        <f>Production!E22</f>
        <v>15</v>
      </c>
      <c r="F33" s="2" t="s">
        <v>226</v>
      </c>
      <c r="I33" s="51"/>
    </row>
    <row r="34" spans="3:9" ht="15">
      <c r="C34" s="67"/>
      <c r="D34" s="163">
        <v>2</v>
      </c>
      <c r="E34" s="40"/>
      <c r="F34" s="40" t="s">
        <v>317</v>
      </c>
      <c r="I34" s="51"/>
    </row>
    <row r="35" spans="3:9" ht="15.75">
      <c r="C35" s="50" t="s">
        <v>35</v>
      </c>
      <c r="D35" s="53">
        <f>D33*D34</f>
        <v>30</v>
      </c>
      <c r="F35" s="20" t="s">
        <v>56</v>
      </c>
      <c r="I35" s="51"/>
    </row>
    <row r="37" ht="15.75">
      <c r="B37" s="20" t="s">
        <v>143</v>
      </c>
    </row>
    <row r="38" spans="4:10" ht="15">
      <c r="D38" s="24">
        <f>Production!E27</f>
        <v>23</v>
      </c>
      <c r="F38" s="2" t="s">
        <v>315</v>
      </c>
      <c r="I38" s="51"/>
      <c r="J38" s="138"/>
    </row>
    <row r="39" spans="3:10" ht="15">
      <c r="C39" s="49"/>
      <c r="D39" s="24">
        <f>Production!E28</f>
        <v>16</v>
      </c>
      <c r="F39" s="2" t="s">
        <v>314</v>
      </c>
      <c r="I39" s="51"/>
      <c r="J39" s="138"/>
    </row>
    <row r="40" spans="3:9" ht="15.75">
      <c r="C40" s="50" t="s">
        <v>35</v>
      </c>
      <c r="D40" s="24">
        <f>AVERAGE(D38:D39)</f>
        <v>19.5</v>
      </c>
      <c r="F40" s="2" t="s">
        <v>320</v>
      </c>
      <c r="I40" s="51"/>
    </row>
    <row r="41" spans="3:9" ht="15.75">
      <c r="C41" s="50"/>
      <c r="D41" s="163">
        <v>3</v>
      </c>
      <c r="F41" s="40" t="s">
        <v>317</v>
      </c>
      <c r="I41" s="45"/>
    </row>
    <row r="42" spans="3:9" ht="15.75">
      <c r="C42" s="50"/>
      <c r="D42" s="27">
        <f>D40*D41</f>
        <v>58.5</v>
      </c>
      <c r="F42" s="40"/>
      <c r="I42" s="45"/>
    </row>
    <row r="44" spans="2:9" ht="18">
      <c r="B44" s="310" t="s">
        <v>181</v>
      </c>
      <c r="C44" s="310"/>
      <c r="D44" s="310"/>
      <c r="E44" s="310"/>
      <c r="F44" s="310"/>
      <c r="G44" s="310"/>
      <c r="H44" s="310"/>
      <c r="I44" s="207"/>
    </row>
    <row r="45" spans="2:8" ht="18">
      <c r="B45" s="311" t="s">
        <v>391</v>
      </c>
      <c r="C45" s="311"/>
      <c r="D45" s="311"/>
      <c r="E45" s="311"/>
      <c r="F45" s="311"/>
      <c r="G45" s="311"/>
      <c r="H45" s="311"/>
    </row>
    <row r="47" spans="2:9" ht="15.75">
      <c r="B47" s="20" t="s">
        <v>124</v>
      </c>
      <c r="I47" s="39" t="s">
        <v>65</v>
      </c>
    </row>
    <row r="48" spans="4:13" ht="15.75">
      <c r="D48" s="50" t="s">
        <v>8</v>
      </c>
      <c r="F48" s="50" t="s">
        <v>9</v>
      </c>
      <c r="G48" s="50" t="s">
        <v>10</v>
      </c>
      <c r="H48" s="50" t="s">
        <v>47</v>
      </c>
      <c r="K48" s="49" t="s">
        <v>112</v>
      </c>
      <c r="L48" s="49" t="s">
        <v>145</v>
      </c>
      <c r="M48" s="49" t="s">
        <v>147</v>
      </c>
    </row>
    <row r="49" spans="2:13" ht="15.75">
      <c r="B49" s="48" t="s">
        <v>12</v>
      </c>
      <c r="D49" s="38" t="s">
        <v>13</v>
      </c>
      <c r="F49" s="38" t="s">
        <v>45</v>
      </c>
      <c r="G49" s="38" t="s">
        <v>46</v>
      </c>
      <c r="H49" s="38" t="s">
        <v>48</v>
      </c>
      <c r="K49" s="39" t="s">
        <v>113</v>
      </c>
      <c r="L49" s="39" t="s">
        <v>146</v>
      </c>
      <c r="M49" s="39" t="s">
        <v>148</v>
      </c>
    </row>
    <row r="50" spans="2:13" ht="15">
      <c r="B50" s="2" t="str">
        <f>Production!B36</f>
        <v>Spray</v>
      </c>
      <c r="D50" s="49">
        <f>Production!C36</f>
        <v>5</v>
      </c>
      <c r="F50" s="49">
        <f>Production!D36</f>
        <v>25</v>
      </c>
      <c r="G50" s="49">
        <f>Production!E36</f>
        <v>4</v>
      </c>
      <c r="H50" s="68">
        <f>(0.25*(Production!F36*0.75))*L50*Assumptions!$E$7</f>
        <v>3.675</v>
      </c>
      <c r="I50" s="51"/>
      <c r="K50" s="60">
        <f>(F50*G50)/10</f>
        <v>10</v>
      </c>
      <c r="L50" s="61">
        <f>IF(ISERR(1/K50),0,(1/K50)*D50)</f>
        <v>0.5</v>
      </c>
      <c r="M50" s="60">
        <f>0.1*H50</f>
        <v>0.3675</v>
      </c>
    </row>
    <row r="51" spans="2:13" ht="15">
      <c r="B51" s="2" t="str">
        <f>Production!B37</f>
        <v>Mowing</v>
      </c>
      <c r="D51" s="49">
        <f>Production!C37</f>
        <v>6</v>
      </c>
      <c r="F51" s="49">
        <f>Production!D37</f>
        <v>6</v>
      </c>
      <c r="G51" s="49">
        <f>Production!E37</f>
        <v>4</v>
      </c>
      <c r="H51" s="68">
        <f>(0.25*(Production!F37*0.75))*L51*Assumptions!$E$7</f>
        <v>18.375</v>
      </c>
      <c r="I51" s="51"/>
      <c r="K51" s="60">
        <f>(F51*G51)/10</f>
        <v>2.4</v>
      </c>
      <c r="L51" s="61">
        <f>IF(ISERR(1/K51),0,(1/K51)*D51)</f>
        <v>2.5</v>
      </c>
      <c r="M51" s="60">
        <f>0.1*H51</f>
        <v>1.8375000000000001</v>
      </c>
    </row>
    <row r="52" spans="2:13" ht="15">
      <c r="B52" s="2" t="str">
        <f>Production!B38</f>
        <v>Harvesting</v>
      </c>
      <c r="D52" s="49">
        <f>Production!C38</f>
        <v>2</v>
      </c>
      <c r="F52" s="49">
        <f>Production!D38</f>
        <v>16.5</v>
      </c>
      <c r="G52" s="49">
        <f>Production!E38</f>
        <v>2</v>
      </c>
      <c r="H52" s="79">
        <f>(0.25*(Production!F38*0.75))*L52*Assumptions!$E$7</f>
        <v>4.454545454545455</v>
      </c>
      <c r="I52" s="51"/>
      <c r="K52" s="89">
        <f>(F52*G52)/10</f>
        <v>3.3</v>
      </c>
      <c r="L52" s="90">
        <f>IF(ISERR(1/K52),0,(1/K52)*D52)</f>
        <v>0.6060606060606061</v>
      </c>
      <c r="M52" s="89">
        <f>0.1*H52</f>
        <v>0.44545454545454555</v>
      </c>
    </row>
    <row r="53" spans="6:13" ht="15.75">
      <c r="F53" s="49"/>
      <c r="H53" s="69">
        <f>ROUND(SUM(H50:H52),2)</f>
        <v>26.5</v>
      </c>
      <c r="I53" s="51"/>
      <c r="K53" s="60">
        <f>SUM(K50:K52)</f>
        <v>15.7</v>
      </c>
      <c r="L53" s="61">
        <f>SUM(L50:L52)</f>
        <v>3.606060606060606</v>
      </c>
      <c r="M53" s="60">
        <f>SUM(M50:M52)</f>
        <v>2.6504545454545454</v>
      </c>
    </row>
    <row r="54" spans="6:13" ht="15.75">
      <c r="F54" s="49"/>
      <c r="H54" s="69"/>
      <c r="K54" s="60"/>
      <c r="L54" s="61"/>
      <c r="M54" s="60"/>
    </row>
    <row r="55" spans="2:13" ht="15.75">
      <c r="B55" s="20" t="s">
        <v>109</v>
      </c>
      <c r="K55" s="60"/>
      <c r="L55" s="61"/>
      <c r="M55" s="60"/>
    </row>
    <row r="56" spans="3:13" ht="15">
      <c r="C56"/>
      <c r="D56">
        <f>Production!F41</f>
        <v>1</v>
      </c>
      <c r="E56"/>
      <c r="F56" t="s">
        <v>131</v>
      </c>
      <c r="G56"/>
      <c r="H56"/>
      <c r="I56" s="75"/>
      <c r="K56" s="60"/>
      <c r="L56" s="61"/>
      <c r="M56" s="60"/>
    </row>
    <row r="57" spans="3:13" ht="15">
      <c r="C57" s="72" t="s">
        <v>34</v>
      </c>
      <c r="D57">
        <f>Production!F42</f>
        <v>2</v>
      </c>
      <c r="E57"/>
      <c r="F57" t="s">
        <v>175</v>
      </c>
      <c r="G57"/>
      <c r="H57"/>
      <c r="I57" s="75"/>
      <c r="K57" s="60"/>
      <c r="L57" s="61"/>
      <c r="M57" s="60"/>
    </row>
    <row r="58" spans="3:13" ht="15">
      <c r="C58" s="39" t="s">
        <v>34</v>
      </c>
      <c r="D58" s="56">
        <f>Production!F43</f>
        <v>5</v>
      </c>
      <c r="E58" s="40"/>
      <c r="F58" s="40" t="s">
        <v>132</v>
      </c>
      <c r="G58"/>
      <c r="H58"/>
      <c r="I58" s="75"/>
      <c r="K58" s="60"/>
      <c r="L58" s="61"/>
      <c r="M58" s="60"/>
    </row>
    <row r="59" spans="3:13" ht="15.75">
      <c r="C59" s="50" t="s">
        <v>35</v>
      </c>
      <c r="D59" s="53">
        <f>(D56*D57)*D58</f>
        <v>10</v>
      </c>
      <c r="E59" s="20"/>
      <c r="F59" s="20" t="s">
        <v>68</v>
      </c>
      <c r="G59"/>
      <c r="H59"/>
      <c r="I59" s="75"/>
      <c r="K59" s="60"/>
      <c r="L59" s="61"/>
      <c r="M59" s="60"/>
    </row>
    <row r="60" spans="6:13" ht="15.75">
      <c r="F60" s="49"/>
      <c r="H60" s="69"/>
      <c r="K60" s="60"/>
      <c r="L60" s="61"/>
      <c r="M60" s="60"/>
    </row>
    <row r="61" ht="15.75">
      <c r="B61" s="20" t="s">
        <v>169</v>
      </c>
    </row>
    <row r="62" spans="3:9" ht="15.75">
      <c r="C62" s="40"/>
      <c r="D62" s="24">
        <f>Production!F48</f>
        <v>0</v>
      </c>
      <c r="F62" s="20" t="s">
        <v>56</v>
      </c>
      <c r="I62" s="51"/>
    </row>
    <row r="63" spans="3:9" ht="15">
      <c r="C63" s="39" t="s">
        <v>42</v>
      </c>
      <c r="D63" s="40">
        <f>Assumptions!E2</f>
        <v>20</v>
      </c>
      <c r="E63" s="40"/>
      <c r="F63" s="40" t="s">
        <v>81</v>
      </c>
      <c r="I63" s="51"/>
    </row>
    <row r="64" spans="3:9" ht="15.75">
      <c r="C64" s="50" t="s">
        <v>35</v>
      </c>
      <c r="D64" s="27">
        <f>ROUND(D62/D63,2)</f>
        <v>0</v>
      </c>
      <c r="E64" s="20"/>
      <c r="F64" s="20" t="s">
        <v>68</v>
      </c>
      <c r="I64" s="51"/>
    </row>
    <row r="66" ht="15.75">
      <c r="B66" s="20" t="s">
        <v>126</v>
      </c>
    </row>
    <row r="67" spans="3:9" ht="15.75">
      <c r="C67" s="58"/>
      <c r="D67" s="62">
        <f>Production!F52</f>
        <v>0.015</v>
      </c>
      <c r="F67" s="2" t="s">
        <v>51</v>
      </c>
      <c r="I67" s="51"/>
    </row>
    <row r="68" spans="3:9" ht="15">
      <c r="C68" s="67" t="s">
        <v>34</v>
      </c>
      <c r="D68" s="164">
        <f>Assumptions!D66/20</f>
        <v>516.25</v>
      </c>
      <c r="F68" s="40" t="s">
        <v>52</v>
      </c>
      <c r="I68" s="51"/>
    </row>
    <row r="69" spans="3:9" ht="15.75">
      <c r="C69" s="58" t="s">
        <v>35</v>
      </c>
      <c r="D69" s="27">
        <f>ROUND(D67*D68,2)</f>
        <v>7.74</v>
      </c>
      <c r="F69" s="20" t="s">
        <v>56</v>
      </c>
      <c r="I69" s="51"/>
    </row>
    <row r="70" spans="3:9" ht="15.75">
      <c r="C70" s="58"/>
      <c r="D70" s="27"/>
      <c r="F70" s="20"/>
      <c r="I70" s="45"/>
    </row>
    <row r="71" spans="2:3" ht="15.75">
      <c r="B71" s="20" t="s">
        <v>162</v>
      </c>
      <c r="C71" s="49"/>
    </row>
    <row r="72" spans="3:9" ht="15">
      <c r="C72" s="49"/>
      <c r="D72" s="31">
        <v>0</v>
      </c>
      <c r="F72" s="2" t="s">
        <v>56</v>
      </c>
      <c r="I72" s="51"/>
    </row>
    <row r="73" spans="3:9" ht="15">
      <c r="C73" s="39" t="s">
        <v>42</v>
      </c>
      <c r="D73" s="40">
        <f>Assumptions!E2</f>
        <v>20</v>
      </c>
      <c r="E73" s="40"/>
      <c r="F73" s="40" t="s">
        <v>81</v>
      </c>
      <c r="I73" s="51"/>
    </row>
    <row r="74" spans="3:9" ht="15.75">
      <c r="C74" s="50" t="s">
        <v>35</v>
      </c>
      <c r="D74" s="27">
        <f>ROUND(D72/D73,2)</f>
        <v>0</v>
      </c>
      <c r="E74" s="20"/>
      <c r="F74" s="20" t="s">
        <v>68</v>
      </c>
      <c r="I74" s="51"/>
    </row>
    <row r="75" spans="2:8" ht="18">
      <c r="B75" s="172"/>
      <c r="C75" s="172"/>
      <c r="D75" s="172"/>
      <c r="E75" s="172"/>
      <c r="F75" s="172"/>
      <c r="G75" s="172"/>
      <c r="H75" s="172"/>
    </row>
    <row r="76" spans="2:9" ht="15.75">
      <c r="B76" s="20" t="s">
        <v>163</v>
      </c>
      <c r="C76" s="49"/>
      <c r="I76" s="39"/>
    </row>
    <row r="77" spans="3:9" ht="15.75">
      <c r="C77" s="49" t="s">
        <v>35</v>
      </c>
      <c r="D77" s="53">
        <f>Assumptions!E5</f>
        <v>15</v>
      </c>
      <c r="F77" s="20" t="s">
        <v>56</v>
      </c>
      <c r="I77" s="51"/>
    </row>
    <row r="78" ht="15">
      <c r="D78" s="31"/>
    </row>
    <row r="79" ht="15.75">
      <c r="B79" s="20" t="s">
        <v>164</v>
      </c>
    </row>
    <row r="80" spans="3:9" ht="15">
      <c r="C80" s="49"/>
      <c r="D80" s="31">
        <f>Summary!E20</f>
        <v>243.29</v>
      </c>
      <c r="F80" s="2" t="s">
        <v>176</v>
      </c>
      <c r="I80" s="51"/>
    </row>
    <row r="81" spans="3:9" ht="15">
      <c r="C81" s="49" t="s">
        <v>42</v>
      </c>
      <c r="D81" s="54">
        <v>2</v>
      </c>
      <c r="F81" s="2" t="s">
        <v>57</v>
      </c>
      <c r="I81" s="52"/>
    </row>
    <row r="82" spans="3:9" ht="15">
      <c r="C82" s="39" t="s">
        <v>34</v>
      </c>
      <c r="D82" s="65">
        <f>Assumptions!E8</f>
        <v>0.055</v>
      </c>
      <c r="E82" s="40"/>
      <c r="F82" s="40" t="s">
        <v>58</v>
      </c>
      <c r="G82" s="40"/>
      <c r="I82" s="52"/>
    </row>
    <row r="83" spans="3:9" ht="15.75">
      <c r="C83" s="58" t="s">
        <v>35</v>
      </c>
      <c r="D83" s="27">
        <f>(D80/D81)*D82</f>
        <v>6.690475</v>
      </c>
      <c r="F83" s="20" t="s">
        <v>56</v>
      </c>
      <c r="I83" s="52"/>
    </row>
    <row r="84" spans="2:9" ht="18">
      <c r="B84" s="310" t="s">
        <v>181</v>
      </c>
      <c r="C84" s="310"/>
      <c r="D84" s="310"/>
      <c r="E84" s="310"/>
      <c r="F84" s="310"/>
      <c r="G84" s="310"/>
      <c r="H84" s="310"/>
      <c r="I84" s="49"/>
    </row>
    <row r="85" spans="2:8" ht="18">
      <c r="B85" s="311" t="s">
        <v>391</v>
      </c>
      <c r="C85" s="311"/>
      <c r="D85" s="311"/>
      <c r="E85" s="311"/>
      <c r="F85" s="311"/>
      <c r="G85" s="311"/>
      <c r="H85" s="311"/>
    </row>
    <row r="86" spans="1:6" ht="15.75">
      <c r="A86" s="20" t="s">
        <v>55</v>
      </c>
      <c r="D86" s="48" t="s">
        <v>67</v>
      </c>
      <c r="E86" s="40"/>
      <c r="F86" s="40"/>
    </row>
    <row r="87" spans="4:9" ht="15.75">
      <c r="D87" s="50" t="s">
        <v>80</v>
      </c>
      <c r="E87" s="49"/>
      <c r="F87" s="49"/>
      <c r="H87" s="20"/>
      <c r="I87" s="39" t="s">
        <v>65</v>
      </c>
    </row>
    <row r="88" ht="15.75">
      <c r="B88" s="20" t="s">
        <v>29</v>
      </c>
    </row>
    <row r="89" spans="4:9" ht="15">
      <c r="D89" s="31">
        <f>Assumptions!D64</f>
        <v>2975</v>
      </c>
      <c r="F89" s="2" t="s">
        <v>59</v>
      </c>
      <c r="I89" s="51"/>
    </row>
    <row r="90" spans="3:9" ht="15">
      <c r="C90" s="49" t="s">
        <v>43</v>
      </c>
      <c r="D90" s="31">
        <f>Assumptions!D64*Assumptions!G54</f>
        <v>297.5</v>
      </c>
      <c r="F90" s="2" t="s">
        <v>60</v>
      </c>
      <c r="G90" s="40"/>
      <c r="I90" s="52"/>
    </row>
    <row r="91" spans="3:9" ht="15">
      <c r="C91" s="39" t="s">
        <v>42</v>
      </c>
      <c r="D91" s="128">
        <v>15</v>
      </c>
      <c r="E91" s="40"/>
      <c r="F91" s="40" t="s">
        <v>61</v>
      </c>
      <c r="I91" s="52"/>
    </row>
    <row r="92" spans="3:9" ht="15.75">
      <c r="C92" s="58" t="s">
        <v>35</v>
      </c>
      <c r="D92" s="27">
        <f>ROUND((D89-D90)/D91,2)</f>
        <v>178.5</v>
      </c>
      <c r="F92" s="20" t="s">
        <v>56</v>
      </c>
      <c r="I92" s="52"/>
    </row>
    <row r="94" spans="2:9" ht="15.75">
      <c r="B94" s="20" t="s">
        <v>178</v>
      </c>
      <c r="I94" s="45"/>
    </row>
    <row r="95" spans="3:9" ht="15">
      <c r="C95" s="49"/>
      <c r="D95" s="31">
        <f>Assumptions!D65</f>
        <v>4950</v>
      </c>
      <c r="F95" s="2" t="s">
        <v>59</v>
      </c>
      <c r="I95" s="51"/>
    </row>
    <row r="96" spans="3:9" ht="15">
      <c r="C96" s="49" t="s">
        <v>43</v>
      </c>
      <c r="D96" s="31">
        <f>Assumptions!D65*Assumptions!G61</f>
        <v>495</v>
      </c>
      <c r="F96" s="2" t="s">
        <v>60</v>
      </c>
      <c r="I96" s="52"/>
    </row>
    <row r="97" spans="3:9" ht="15">
      <c r="C97" s="39" t="s">
        <v>42</v>
      </c>
      <c r="D97" s="128">
        <v>15</v>
      </c>
      <c r="F97" s="40" t="s">
        <v>61</v>
      </c>
      <c r="I97" s="52"/>
    </row>
    <row r="98" spans="3:9" ht="15.75">
      <c r="C98" s="58" t="s">
        <v>35</v>
      </c>
      <c r="D98" s="27">
        <f>(+D95-D96)/D97</f>
        <v>297</v>
      </c>
      <c r="F98" s="20" t="s">
        <v>56</v>
      </c>
      <c r="I98" s="52"/>
    </row>
    <row r="99" ht="15">
      <c r="C99" s="49"/>
    </row>
    <row r="100" ht="15">
      <c r="C100" s="49"/>
    </row>
    <row r="101" spans="1:9" ht="15.75">
      <c r="A101" s="20" t="s">
        <v>54</v>
      </c>
      <c r="C101" s="49"/>
      <c r="D101" s="48" t="s">
        <v>79</v>
      </c>
      <c r="I101" s="45"/>
    </row>
    <row r="102" spans="3:9" ht="15.75">
      <c r="C102" s="49"/>
      <c r="E102" s="50">
        <v>2</v>
      </c>
      <c r="I102" s="45"/>
    </row>
    <row r="103" spans="3:9" ht="15">
      <c r="C103" s="49"/>
      <c r="I103" s="45"/>
    </row>
    <row r="104" spans="2:9" ht="15.75">
      <c r="B104" s="20" t="s">
        <v>31</v>
      </c>
      <c r="C104" s="49"/>
      <c r="I104" s="45"/>
    </row>
    <row r="105" spans="3:9" ht="15">
      <c r="C105" s="49"/>
      <c r="D105" s="31">
        <f>Assumptions!E3</f>
        <v>2400</v>
      </c>
      <c r="F105" s="2" t="s">
        <v>59</v>
      </c>
      <c r="I105" s="51"/>
    </row>
    <row r="106" spans="3:9" ht="15">
      <c r="C106" s="39" t="s">
        <v>34</v>
      </c>
      <c r="D106" s="65">
        <f>Assumptions!E9</f>
        <v>0.025</v>
      </c>
      <c r="E106" s="40"/>
      <c r="F106" s="40" t="s">
        <v>62</v>
      </c>
      <c r="I106" s="51"/>
    </row>
    <row r="107" spans="3:9" ht="15.75">
      <c r="C107" s="63" t="s">
        <v>35</v>
      </c>
      <c r="D107" s="27">
        <f>(+D105*D106)</f>
        <v>60</v>
      </c>
      <c r="F107" s="20" t="s">
        <v>56</v>
      </c>
      <c r="I107" s="51"/>
    </row>
    <row r="108" ht="15">
      <c r="I108" s="45"/>
    </row>
    <row r="109" spans="2:9" ht="15.75">
      <c r="B109" s="20" t="s">
        <v>32</v>
      </c>
      <c r="I109" s="45"/>
    </row>
    <row r="110" spans="4:9" ht="15">
      <c r="D110" s="31">
        <f>Assumptions!D64</f>
        <v>2975</v>
      </c>
      <c r="F110" s="2" t="s">
        <v>59</v>
      </c>
      <c r="I110" s="51"/>
    </row>
    <row r="111" spans="3:9" ht="15">
      <c r="C111" s="49" t="s">
        <v>38</v>
      </c>
      <c r="D111" s="31">
        <f>Assumptions!D64*Assumptions!G54</f>
        <v>297.5</v>
      </c>
      <c r="F111" s="2" t="s">
        <v>60</v>
      </c>
      <c r="I111" s="51"/>
    </row>
    <row r="112" spans="3:9" ht="15">
      <c r="C112" s="49" t="s">
        <v>42</v>
      </c>
      <c r="D112" s="54">
        <v>2</v>
      </c>
      <c r="F112" s="2" t="s">
        <v>57</v>
      </c>
      <c r="I112" s="51"/>
    </row>
    <row r="113" spans="3:9" ht="15">
      <c r="C113" s="39" t="s">
        <v>34</v>
      </c>
      <c r="D113" s="65">
        <f>Assumptions!E9</f>
        <v>0.025</v>
      </c>
      <c r="E113" s="40"/>
      <c r="F113" s="40" t="s">
        <v>62</v>
      </c>
      <c r="I113" s="51"/>
    </row>
    <row r="114" spans="3:9" ht="15.75">
      <c r="C114" s="58" t="s">
        <v>35</v>
      </c>
      <c r="D114" s="27">
        <f>ROUND(((+D110+D111)/D112)*D113,2)</f>
        <v>40.91</v>
      </c>
      <c r="F114" s="20" t="s">
        <v>56</v>
      </c>
      <c r="G114" s="45"/>
      <c r="H114" s="45"/>
      <c r="I114" s="51"/>
    </row>
    <row r="115" ht="15">
      <c r="C115" s="49"/>
    </row>
    <row r="116" spans="2:3" ht="15.75">
      <c r="B116" s="20" t="s">
        <v>177</v>
      </c>
      <c r="C116" s="49"/>
    </row>
    <row r="117" spans="3:9" ht="15">
      <c r="C117" s="49"/>
      <c r="D117" s="31">
        <f>Assumptions!D65</f>
        <v>4950</v>
      </c>
      <c r="F117" s="2" t="s">
        <v>59</v>
      </c>
      <c r="I117" s="51"/>
    </row>
    <row r="118" spans="3:9" ht="15">
      <c r="C118" s="49" t="s">
        <v>38</v>
      </c>
      <c r="D118" s="31">
        <f>Assumptions!D65*Assumptions!G61</f>
        <v>495</v>
      </c>
      <c r="F118" s="2" t="s">
        <v>60</v>
      </c>
      <c r="I118" s="51"/>
    </row>
    <row r="119" spans="3:9" ht="15">
      <c r="C119" s="49" t="s">
        <v>42</v>
      </c>
      <c r="D119" s="54">
        <v>2</v>
      </c>
      <c r="F119" s="2" t="s">
        <v>57</v>
      </c>
      <c r="I119" s="51"/>
    </row>
    <row r="120" spans="3:9" ht="15">
      <c r="C120" s="39" t="s">
        <v>34</v>
      </c>
      <c r="D120" s="65">
        <f>Assumptions!E9</f>
        <v>0.025</v>
      </c>
      <c r="E120" s="40"/>
      <c r="F120" s="40" t="s">
        <v>62</v>
      </c>
      <c r="I120" s="51"/>
    </row>
    <row r="121" spans="3:9" ht="15.75">
      <c r="C121" s="58" t="s">
        <v>35</v>
      </c>
      <c r="D121" s="27">
        <f>((+D117+D118)/D119)*D120</f>
        <v>68.0625</v>
      </c>
      <c r="F121" s="20" t="s">
        <v>56</v>
      </c>
      <c r="I121" s="51"/>
    </row>
    <row r="122" spans="2:9" ht="18">
      <c r="B122" s="310" t="s">
        <v>181</v>
      </c>
      <c r="C122" s="310"/>
      <c r="D122" s="310"/>
      <c r="E122" s="310"/>
      <c r="F122" s="310"/>
      <c r="G122" s="310"/>
      <c r="H122" s="310"/>
      <c r="I122" s="49"/>
    </row>
    <row r="123" spans="2:9" ht="18">
      <c r="B123" s="311" t="s">
        <v>391</v>
      </c>
      <c r="C123" s="311"/>
      <c r="D123" s="311"/>
      <c r="E123" s="311"/>
      <c r="F123" s="311"/>
      <c r="G123" s="311"/>
      <c r="H123" s="311"/>
      <c r="I123" s="49"/>
    </row>
    <row r="124" ht="15">
      <c r="I124" s="39" t="s">
        <v>65</v>
      </c>
    </row>
    <row r="125" ht="15.75">
      <c r="A125" s="20" t="s">
        <v>231</v>
      </c>
    </row>
    <row r="126" spans="4:9" ht="15">
      <c r="D126" s="93">
        <f>Production!E61</f>
        <v>1</v>
      </c>
      <c r="F126" s="2" t="s">
        <v>170</v>
      </c>
      <c r="I126" s="51"/>
    </row>
    <row r="127" spans="3:9" ht="15">
      <c r="C127" s="49" t="s">
        <v>38</v>
      </c>
      <c r="D127" s="93">
        <f>Production!E62</f>
        <v>3</v>
      </c>
      <c r="F127" s="2" t="s">
        <v>215</v>
      </c>
      <c r="I127" s="51"/>
    </row>
    <row r="128" spans="3:9" ht="15">
      <c r="C128" s="49" t="s">
        <v>38</v>
      </c>
      <c r="D128" s="93">
        <f>Production!E63</f>
        <v>1.5</v>
      </c>
      <c r="E128" s="40"/>
      <c r="F128" s="2" t="s">
        <v>213</v>
      </c>
      <c r="I128" s="51"/>
    </row>
    <row r="129" spans="3:9" ht="15">
      <c r="C129" s="49" t="s">
        <v>38</v>
      </c>
      <c r="D129" s="93">
        <f>Production!E64</f>
        <v>3</v>
      </c>
      <c r="F129" s="2" t="s">
        <v>171</v>
      </c>
      <c r="I129" s="51"/>
    </row>
    <row r="130" spans="3:9" ht="15">
      <c r="C130" s="49"/>
      <c r="D130" s="93">
        <f>Production!E65</f>
        <v>20</v>
      </c>
      <c r="F130" s="2" t="s">
        <v>272</v>
      </c>
      <c r="I130" s="51"/>
    </row>
    <row r="131" spans="3:9" ht="15">
      <c r="C131" s="49"/>
      <c r="D131" s="93">
        <f>Production!E66</f>
        <v>4.5</v>
      </c>
      <c r="F131" s="2" t="s">
        <v>271</v>
      </c>
      <c r="I131" s="51"/>
    </row>
    <row r="132" spans="3:9" ht="15">
      <c r="C132" s="49"/>
      <c r="D132" s="93">
        <f>Production!E67</f>
        <v>5</v>
      </c>
      <c r="F132" s="2" t="s">
        <v>273</v>
      </c>
      <c r="I132" s="51"/>
    </row>
    <row r="133" spans="3:9" ht="15">
      <c r="C133" s="49" t="s">
        <v>38</v>
      </c>
      <c r="D133" s="93">
        <f>Production!E68</f>
        <v>3.606060606060606</v>
      </c>
      <c r="F133" s="2" t="s">
        <v>172</v>
      </c>
      <c r="I133" s="51"/>
    </row>
    <row r="134" spans="3:9" ht="15">
      <c r="C134" s="39" t="s">
        <v>34</v>
      </c>
      <c r="D134" s="56">
        <f>Production!E58</f>
        <v>17.5</v>
      </c>
      <c r="E134" s="40"/>
      <c r="F134" s="40" t="s">
        <v>53</v>
      </c>
      <c r="G134" s="40"/>
      <c r="I134" s="51"/>
    </row>
    <row r="135" spans="3:9" ht="15.75">
      <c r="C135" s="50" t="s">
        <v>35</v>
      </c>
      <c r="D135" s="53">
        <f>SUM(D126:D133)*D134</f>
        <v>728.1060606060606</v>
      </c>
      <c r="F135" s="20" t="s">
        <v>56</v>
      </c>
      <c r="I135" s="51"/>
    </row>
    <row r="141" spans="2:8" ht="30" customHeight="1">
      <c r="B141" s="318" t="s">
        <v>265</v>
      </c>
      <c r="C141" s="318"/>
      <c r="D141" s="318"/>
      <c r="E141" s="318"/>
      <c r="F141" s="318"/>
      <c r="G141" s="318"/>
      <c r="H141" s="318"/>
    </row>
    <row r="142" spans="3:6" ht="15">
      <c r="C142" s="45"/>
      <c r="D142" s="45"/>
      <c r="E142" s="45"/>
      <c r="F142" s="45"/>
    </row>
    <row r="143" ht="15">
      <c r="B143" s="45" t="s">
        <v>50</v>
      </c>
    </row>
    <row r="144" ht="15">
      <c r="B144" s="126"/>
    </row>
    <row r="145" spans="2:7" ht="15">
      <c r="B145" s="2" t="s">
        <v>397</v>
      </c>
      <c r="G145" s="2" t="s">
        <v>398</v>
      </c>
    </row>
    <row r="146" spans="2:7" ht="15">
      <c r="B146" s="2" t="s">
        <v>399</v>
      </c>
      <c r="G146" s="2" t="s">
        <v>400</v>
      </c>
    </row>
    <row r="148" ht="15">
      <c r="B148" s="2" t="s">
        <v>401</v>
      </c>
    </row>
    <row r="149" ht="15">
      <c r="B149" s="2" t="s">
        <v>400</v>
      </c>
    </row>
  </sheetData>
  <sheetProtection password="C6A6" sheet="1"/>
  <mergeCells count="9">
    <mergeCell ref="B141:H141"/>
    <mergeCell ref="B2:H2"/>
    <mergeCell ref="B1:H1"/>
    <mergeCell ref="B122:H122"/>
    <mergeCell ref="B123:H123"/>
    <mergeCell ref="B44:H44"/>
    <mergeCell ref="B45:H45"/>
    <mergeCell ref="B84:H84"/>
    <mergeCell ref="B85:H85"/>
  </mergeCells>
  <printOptions horizontalCentered="1"/>
  <pageMargins left="0.7480314960629921" right="0.7480314960629921" top="0.984251968503937" bottom="0.984251968503937" header="0.5118110236220472" footer="0.5118110236220472"/>
  <pageSetup firstPageNumber="12" useFirstPageNumber="1" fitToHeight="4" horizontalDpi="300" verticalDpi="300" orientation="portrait" scale="93" r:id="rId1"/>
  <headerFooter alignWithMargins="0">
    <oddHeader>&amp;L&amp;11Guidelines: Saskatoon Production Costs&amp;R&amp;11&amp;P</oddHeader>
    <oddFooter>&amp;R&amp;"Arial,Italic"&amp;11MAFRI, GO Team Branch and Crops Knowledge Centre</oddFooter>
  </headerFooter>
  <rowBreaks count="3" manualBreakCount="3">
    <brk id="43" max="8" man="1"/>
    <brk id="83" max="8" man="1"/>
    <brk id="121" max="8" man="1"/>
  </rowBreaks>
</worksheet>
</file>

<file path=xl/worksheets/sheet8.xml><?xml version="1.0" encoding="utf-8"?>
<worksheet xmlns="http://schemas.openxmlformats.org/spreadsheetml/2006/main" xmlns:r="http://schemas.openxmlformats.org/officeDocument/2006/relationships">
  <sheetPr codeName="Sheet6"/>
  <dimension ref="A1:AA77"/>
  <sheetViews>
    <sheetView zoomScaleSheetLayoutView="75" zoomScalePageLayoutView="0" workbookViewId="0" topLeftCell="A1">
      <selection activeCell="A1" sqref="A1"/>
    </sheetView>
  </sheetViews>
  <sheetFormatPr defaultColWidth="8.88671875" defaultRowHeight="15"/>
  <cols>
    <col min="1" max="1" width="3.3359375" style="0" customWidth="1"/>
    <col min="2" max="2" width="25.77734375" style="0" customWidth="1"/>
    <col min="3" max="3" width="10.5546875" style="0" bestFit="1" customWidth="1"/>
    <col min="4" max="4" width="8.5546875" style="0" customWidth="1"/>
    <col min="5" max="15" width="8.21484375" style="0" bestFit="1" customWidth="1"/>
    <col min="16" max="16" width="3.3359375" style="0" customWidth="1"/>
    <col min="17" max="17" width="25.77734375" style="0" customWidth="1"/>
    <col min="18" max="19" width="8.21484375" style="0" bestFit="1" customWidth="1"/>
    <col min="20" max="20" width="7.99609375" style="0" customWidth="1"/>
  </cols>
  <sheetData>
    <row r="1" spans="1:16" s="103" customFormat="1" ht="23.25">
      <c r="A1" s="103" t="s">
        <v>379</v>
      </c>
      <c r="P1" s="103" t="s">
        <v>379</v>
      </c>
    </row>
    <row r="3" spans="1:25" ht="15">
      <c r="A3" s="104" t="s">
        <v>253</v>
      </c>
      <c r="B3" s="104"/>
      <c r="C3" s="159">
        <v>20</v>
      </c>
      <c r="D3" s="150" t="s">
        <v>238</v>
      </c>
      <c r="E3" s="150" t="s">
        <v>239</v>
      </c>
      <c r="F3" s="150" t="s">
        <v>240</v>
      </c>
      <c r="G3" s="150" t="s">
        <v>241</v>
      </c>
      <c r="H3" s="150" t="s">
        <v>242</v>
      </c>
      <c r="I3" s="150" t="s">
        <v>243</v>
      </c>
      <c r="J3" s="150" t="s">
        <v>244</v>
      </c>
      <c r="K3" s="150" t="s">
        <v>245</v>
      </c>
      <c r="L3" s="150" t="s">
        <v>246</v>
      </c>
      <c r="M3" s="150" t="s">
        <v>247</v>
      </c>
      <c r="N3" s="150" t="s">
        <v>248</v>
      </c>
      <c r="O3" s="150" t="s">
        <v>249</v>
      </c>
      <c r="P3" s="104" t="s">
        <v>253</v>
      </c>
      <c r="Q3" s="104"/>
      <c r="R3" s="150" t="s">
        <v>250</v>
      </c>
      <c r="S3" s="150" t="s">
        <v>251</v>
      </c>
      <c r="T3" s="150" t="s">
        <v>252</v>
      </c>
      <c r="U3" s="150" t="s">
        <v>348</v>
      </c>
      <c r="V3" s="150" t="s">
        <v>349</v>
      </c>
      <c r="W3" s="150" t="s">
        <v>350</v>
      </c>
      <c r="X3" s="150" t="s">
        <v>351</v>
      </c>
      <c r="Y3" s="150" t="s">
        <v>352</v>
      </c>
    </row>
    <row r="4" spans="1:26" ht="15">
      <c r="A4" s="104"/>
      <c r="B4" s="104"/>
      <c r="C4" s="159" t="s">
        <v>81</v>
      </c>
      <c r="D4" s="104"/>
      <c r="E4" s="104"/>
      <c r="F4" s="104"/>
      <c r="G4" s="104"/>
      <c r="H4" s="104"/>
      <c r="I4" s="104"/>
      <c r="J4" s="104"/>
      <c r="K4" s="104"/>
      <c r="L4" s="104"/>
      <c r="M4" s="104"/>
      <c r="N4" s="104"/>
      <c r="O4" s="104"/>
      <c r="P4" s="104"/>
      <c r="Q4" s="104"/>
      <c r="R4" s="104"/>
      <c r="S4" s="104"/>
      <c r="T4" s="104"/>
      <c r="Z4" s="167" t="s">
        <v>347</v>
      </c>
    </row>
    <row r="5" spans="1:25" s="95" customFormat="1" ht="15">
      <c r="A5" s="111" t="s">
        <v>235</v>
      </c>
      <c r="B5" s="111"/>
      <c r="C5" s="111"/>
      <c r="D5" s="144">
        <f>Assumptions!K13</f>
        <v>0</v>
      </c>
      <c r="E5" s="144">
        <f>Assumptions!K14</f>
        <v>0</v>
      </c>
      <c r="F5" s="144">
        <f>Assumptions!K15</f>
        <v>0</v>
      </c>
      <c r="G5" s="144">
        <f>Assumptions!K16</f>
        <v>1250</v>
      </c>
      <c r="H5" s="144">
        <f>Assumptions!K17</f>
        <v>4500</v>
      </c>
      <c r="I5" s="144">
        <f>Assumptions!K18</f>
        <v>11250</v>
      </c>
      <c r="J5" s="144">
        <f>Assumptions!K19</f>
        <v>20750</v>
      </c>
      <c r="K5" s="144">
        <f>Assumptions!K20</f>
        <v>31250</v>
      </c>
      <c r="L5" s="144">
        <f>Assumptions!K21</f>
        <v>42000</v>
      </c>
      <c r="M5" s="144">
        <f>Assumptions!K22</f>
        <v>49250</v>
      </c>
      <c r="N5" s="144">
        <f>Assumptions!K23</f>
        <v>53750</v>
      </c>
      <c r="O5" s="144">
        <f>Assumptions!K24</f>
        <v>42000</v>
      </c>
      <c r="P5" s="111" t="s">
        <v>235</v>
      </c>
      <c r="Q5" s="111"/>
      <c r="R5" s="144">
        <f>Assumptions!K25</f>
        <v>44250</v>
      </c>
      <c r="S5" s="144">
        <f>Assumptions!K26</f>
        <v>30250</v>
      </c>
      <c r="T5" s="144">
        <f>Assumptions!K27</f>
        <v>35250</v>
      </c>
      <c r="U5" s="144">
        <f>Assumptions!K28</f>
        <v>25750</v>
      </c>
      <c r="V5" s="144">
        <f>Assumptions!K29</f>
        <v>35250</v>
      </c>
      <c r="W5" s="144">
        <f>Assumptions!K30</f>
        <v>25750</v>
      </c>
      <c r="X5" s="144">
        <f>Assumptions!K31</f>
        <v>35250</v>
      </c>
      <c r="Y5" s="144">
        <f>Assumptions!K32</f>
        <v>39750</v>
      </c>
    </row>
    <row r="6" spans="1:25" ht="15">
      <c r="A6" s="104" t="s">
        <v>236</v>
      </c>
      <c r="B6" s="104"/>
      <c r="C6" s="104"/>
      <c r="D6" s="109">
        <v>2</v>
      </c>
      <c r="E6" s="109">
        <v>2</v>
      </c>
      <c r="F6" s="109">
        <v>2</v>
      </c>
      <c r="G6" s="109">
        <v>2</v>
      </c>
      <c r="H6" s="109">
        <v>2</v>
      </c>
      <c r="I6" s="109">
        <v>2</v>
      </c>
      <c r="J6" s="109">
        <v>2</v>
      </c>
      <c r="K6" s="109">
        <v>2</v>
      </c>
      <c r="L6" s="109">
        <v>2</v>
      </c>
      <c r="M6" s="109">
        <v>2</v>
      </c>
      <c r="N6" s="109">
        <v>2</v>
      </c>
      <c r="O6" s="109">
        <v>2</v>
      </c>
      <c r="P6" s="104" t="s">
        <v>236</v>
      </c>
      <c r="Q6" s="104"/>
      <c r="R6" s="109">
        <v>2</v>
      </c>
      <c r="S6" s="109">
        <v>2</v>
      </c>
      <c r="T6" s="109">
        <v>2</v>
      </c>
      <c r="U6" s="109">
        <v>2</v>
      </c>
      <c r="V6" s="109">
        <v>2</v>
      </c>
      <c r="W6" s="109">
        <v>2</v>
      </c>
      <c r="X6" s="109">
        <v>2</v>
      </c>
      <c r="Y6" s="109">
        <v>2</v>
      </c>
    </row>
    <row r="7" spans="1:25" ht="15">
      <c r="A7" s="104" t="s">
        <v>237</v>
      </c>
      <c r="B7" s="104"/>
      <c r="C7" s="104"/>
      <c r="D7" s="108">
        <f>D5*D6</f>
        <v>0</v>
      </c>
      <c r="E7" s="108">
        <f>E5*E6</f>
        <v>0</v>
      </c>
      <c r="F7" s="108">
        <f>F5*F6</f>
        <v>0</v>
      </c>
      <c r="G7" s="108">
        <f>G5*G6</f>
        <v>2500</v>
      </c>
      <c r="H7" s="108">
        <f aca="true" t="shared" si="0" ref="H7:T7">H5*H6</f>
        <v>9000</v>
      </c>
      <c r="I7" s="108">
        <f t="shared" si="0"/>
        <v>22500</v>
      </c>
      <c r="J7" s="108">
        <f t="shared" si="0"/>
        <v>41500</v>
      </c>
      <c r="K7" s="108">
        <f t="shared" si="0"/>
        <v>62500</v>
      </c>
      <c r="L7" s="108">
        <f t="shared" si="0"/>
        <v>84000</v>
      </c>
      <c r="M7" s="108">
        <f t="shared" si="0"/>
        <v>98500</v>
      </c>
      <c r="N7" s="108">
        <f t="shared" si="0"/>
        <v>107500</v>
      </c>
      <c r="O7" s="108">
        <f t="shared" si="0"/>
        <v>84000</v>
      </c>
      <c r="P7" s="104" t="s">
        <v>237</v>
      </c>
      <c r="Q7" s="104"/>
      <c r="R7" s="108">
        <f t="shared" si="0"/>
        <v>88500</v>
      </c>
      <c r="S7" s="108">
        <f t="shared" si="0"/>
        <v>60500</v>
      </c>
      <c r="T7" s="108">
        <f t="shared" si="0"/>
        <v>70500</v>
      </c>
      <c r="U7" s="108">
        <f>U5*U6</f>
        <v>51500</v>
      </c>
      <c r="V7" s="108">
        <f>V5*V6</f>
        <v>70500</v>
      </c>
      <c r="W7" s="108">
        <f>W5*W6</f>
        <v>51500</v>
      </c>
      <c r="X7" s="108">
        <f>X5*X6</f>
        <v>70500</v>
      </c>
      <c r="Y7" s="108">
        <f>Y5*Y6</f>
        <v>79500</v>
      </c>
    </row>
    <row r="8" spans="1:20" ht="15">
      <c r="A8" s="104"/>
      <c r="B8" s="104"/>
      <c r="C8" s="104"/>
      <c r="D8" s="104"/>
      <c r="E8" s="104"/>
      <c r="F8" s="104"/>
      <c r="G8" s="104"/>
      <c r="H8" s="104"/>
      <c r="I8" s="104"/>
      <c r="J8" s="104"/>
      <c r="K8" s="104"/>
      <c r="L8" s="104"/>
      <c r="M8" s="104"/>
      <c r="N8" s="104"/>
      <c r="O8" s="104"/>
      <c r="P8" s="104"/>
      <c r="Q8" s="104"/>
      <c r="R8" s="104"/>
      <c r="S8" s="104"/>
      <c r="T8" s="104"/>
    </row>
    <row r="9" spans="1:27" ht="15">
      <c r="A9" s="106" t="s">
        <v>255</v>
      </c>
      <c r="B9" s="104"/>
      <c r="C9" s="104"/>
      <c r="D9" s="319" t="s">
        <v>353</v>
      </c>
      <c r="E9" s="320"/>
      <c r="F9" s="320"/>
      <c r="G9" s="320"/>
      <c r="H9" s="320"/>
      <c r="I9" s="320"/>
      <c r="J9" s="320"/>
      <c r="K9" s="320"/>
      <c r="L9" s="320"/>
      <c r="M9" s="320"/>
      <c r="N9" s="320"/>
      <c r="O9" s="320"/>
      <c r="P9" s="319" t="s">
        <v>353</v>
      </c>
      <c r="Q9" s="320"/>
      <c r="R9" s="320"/>
      <c r="S9" s="320"/>
      <c r="T9" s="320"/>
      <c r="U9" s="320"/>
      <c r="V9" s="320"/>
      <c r="W9" s="320"/>
      <c r="X9" s="320"/>
      <c r="Y9" s="320"/>
      <c r="Z9" s="170"/>
      <c r="AA9" s="170"/>
    </row>
    <row r="10" spans="1:20" ht="15">
      <c r="A10" s="104"/>
      <c r="B10" s="104"/>
      <c r="C10" s="159" t="s">
        <v>256</v>
      </c>
      <c r="D10" s="104"/>
      <c r="E10" s="104"/>
      <c r="F10" s="104"/>
      <c r="G10" s="104"/>
      <c r="H10" s="104"/>
      <c r="I10" s="104"/>
      <c r="J10" s="104"/>
      <c r="K10" s="104"/>
      <c r="L10" s="104"/>
      <c r="M10" s="104"/>
      <c r="N10" s="104"/>
      <c r="O10" s="104"/>
      <c r="P10" s="104"/>
      <c r="Q10" s="104"/>
      <c r="R10" s="104"/>
      <c r="S10" s="104"/>
      <c r="T10" s="104"/>
    </row>
    <row r="11" spans="1:25" ht="15">
      <c r="A11" s="104"/>
      <c r="B11" s="104"/>
      <c r="C11" s="159" t="s">
        <v>280</v>
      </c>
      <c r="D11" s="150" t="s">
        <v>238</v>
      </c>
      <c r="E11" s="150" t="s">
        <v>239</v>
      </c>
      <c r="F11" s="150" t="s">
        <v>240</v>
      </c>
      <c r="G11" s="150" t="s">
        <v>241</v>
      </c>
      <c r="H11" s="150" t="s">
        <v>242</v>
      </c>
      <c r="I11" s="150" t="s">
        <v>243</v>
      </c>
      <c r="J11" s="150" t="s">
        <v>244</v>
      </c>
      <c r="K11" s="150" t="s">
        <v>245</v>
      </c>
      <c r="L11" s="150" t="s">
        <v>246</v>
      </c>
      <c r="M11" s="150" t="s">
        <v>247</v>
      </c>
      <c r="N11" s="150" t="s">
        <v>248</v>
      </c>
      <c r="O11" s="150" t="s">
        <v>249</v>
      </c>
      <c r="P11" s="104"/>
      <c r="Q11" s="104"/>
      <c r="R11" s="150" t="s">
        <v>250</v>
      </c>
      <c r="S11" s="150" t="s">
        <v>251</v>
      </c>
      <c r="T11" s="150" t="s">
        <v>252</v>
      </c>
      <c r="U11" s="150" t="s">
        <v>348</v>
      </c>
      <c r="V11" s="150" t="s">
        <v>349</v>
      </c>
      <c r="W11" s="150" t="s">
        <v>350</v>
      </c>
      <c r="X11" s="150" t="s">
        <v>351</v>
      </c>
      <c r="Y11" s="150" t="s">
        <v>352</v>
      </c>
    </row>
    <row r="12" spans="1:20" ht="15">
      <c r="A12" s="104"/>
      <c r="B12" s="104"/>
      <c r="C12" s="160" t="s">
        <v>257</v>
      </c>
      <c r="D12" s="104"/>
      <c r="E12" s="104"/>
      <c r="F12" s="104"/>
      <c r="G12" s="104"/>
      <c r="H12" s="104"/>
      <c r="I12" s="104"/>
      <c r="J12" s="104"/>
      <c r="K12" s="104"/>
      <c r="L12" s="104"/>
      <c r="M12" s="104"/>
      <c r="N12" s="104"/>
      <c r="O12" s="104"/>
      <c r="P12" s="104"/>
      <c r="Q12" s="104"/>
      <c r="R12" s="104"/>
      <c r="S12" s="104"/>
      <c r="T12" s="104"/>
    </row>
    <row r="13" spans="1:25" ht="15">
      <c r="A13" s="104"/>
      <c r="B13" s="107" t="s">
        <v>263</v>
      </c>
      <c r="C13" s="108">
        <f>Summary!C9*$C$3</f>
        <v>37400</v>
      </c>
      <c r="D13" s="108">
        <f aca="true" t="shared" si="1" ref="D13:D25">C13/20</f>
        <v>1870</v>
      </c>
      <c r="E13" s="108">
        <f aca="true" t="shared" si="2" ref="E13:E25">D13</f>
        <v>1870</v>
      </c>
      <c r="F13" s="108">
        <f aca="true" t="shared" si="3" ref="F13:T13">E13</f>
        <v>1870</v>
      </c>
      <c r="G13" s="108">
        <f t="shared" si="3"/>
        <v>1870</v>
      </c>
      <c r="H13" s="108">
        <f t="shared" si="3"/>
        <v>1870</v>
      </c>
      <c r="I13" s="108">
        <f t="shared" si="3"/>
        <v>1870</v>
      </c>
      <c r="J13" s="108">
        <f t="shared" si="3"/>
        <v>1870</v>
      </c>
      <c r="K13" s="108">
        <f t="shared" si="3"/>
        <v>1870</v>
      </c>
      <c r="L13" s="108">
        <f t="shared" si="3"/>
        <v>1870</v>
      </c>
      <c r="M13" s="108">
        <f t="shared" si="3"/>
        <v>1870</v>
      </c>
      <c r="N13" s="108">
        <f t="shared" si="3"/>
        <v>1870</v>
      </c>
      <c r="O13" s="108">
        <f t="shared" si="3"/>
        <v>1870</v>
      </c>
      <c r="P13" s="104"/>
      <c r="Q13" s="107" t="s">
        <v>263</v>
      </c>
      <c r="R13" s="108">
        <f aca="true" t="shared" si="4" ref="R13:R25">O13</f>
        <v>1870</v>
      </c>
      <c r="S13" s="108">
        <f t="shared" si="3"/>
        <v>1870</v>
      </c>
      <c r="T13" s="108">
        <f t="shared" si="3"/>
        <v>1870</v>
      </c>
      <c r="U13" s="108">
        <f aca="true" t="shared" si="5" ref="U13:Y25">T13</f>
        <v>1870</v>
      </c>
      <c r="V13" s="108">
        <f t="shared" si="5"/>
        <v>1870</v>
      </c>
      <c r="W13" s="108">
        <f t="shared" si="5"/>
        <v>1870</v>
      </c>
      <c r="X13" s="108">
        <f t="shared" si="5"/>
        <v>1870</v>
      </c>
      <c r="Y13" s="108">
        <f t="shared" si="5"/>
        <v>1870</v>
      </c>
    </row>
    <row r="14" spans="1:25" ht="15">
      <c r="A14" s="104"/>
      <c r="B14" s="107" t="s">
        <v>26</v>
      </c>
      <c r="C14" s="108">
        <f>Summary!C10*$C$3</f>
        <v>2000</v>
      </c>
      <c r="D14" s="108">
        <f t="shared" si="1"/>
        <v>100</v>
      </c>
      <c r="E14" s="108">
        <f t="shared" si="2"/>
        <v>100</v>
      </c>
      <c r="F14" s="108">
        <f aca="true" t="shared" si="6" ref="F14:T14">E14</f>
        <v>100</v>
      </c>
      <c r="G14" s="108">
        <f t="shared" si="6"/>
        <v>100</v>
      </c>
      <c r="H14" s="108">
        <f t="shared" si="6"/>
        <v>100</v>
      </c>
      <c r="I14" s="108">
        <f t="shared" si="6"/>
        <v>100</v>
      </c>
      <c r="J14" s="108">
        <f t="shared" si="6"/>
        <v>100</v>
      </c>
      <c r="K14" s="108">
        <f t="shared" si="6"/>
        <v>100</v>
      </c>
      <c r="L14" s="108">
        <f t="shared" si="6"/>
        <v>100</v>
      </c>
      <c r="M14" s="108">
        <f t="shared" si="6"/>
        <v>100</v>
      </c>
      <c r="N14" s="108">
        <f t="shared" si="6"/>
        <v>100</v>
      </c>
      <c r="O14" s="108">
        <f t="shared" si="6"/>
        <v>100</v>
      </c>
      <c r="P14" s="104"/>
      <c r="Q14" s="107" t="s">
        <v>26</v>
      </c>
      <c r="R14" s="108">
        <f t="shared" si="4"/>
        <v>100</v>
      </c>
      <c r="S14" s="108">
        <f t="shared" si="6"/>
        <v>100</v>
      </c>
      <c r="T14" s="108">
        <f t="shared" si="6"/>
        <v>100</v>
      </c>
      <c r="U14" s="108">
        <f t="shared" si="5"/>
        <v>100</v>
      </c>
      <c r="V14" s="108">
        <f t="shared" si="5"/>
        <v>100</v>
      </c>
      <c r="W14" s="108">
        <f t="shared" si="5"/>
        <v>100</v>
      </c>
      <c r="X14" s="108">
        <f t="shared" si="5"/>
        <v>100</v>
      </c>
      <c r="Y14" s="108">
        <f t="shared" si="5"/>
        <v>100</v>
      </c>
    </row>
    <row r="15" spans="1:25" ht="15">
      <c r="A15" s="104"/>
      <c r="B15" s="107" t="s">
        <v>70</v>
      </c>
      <c r="C15" s="108">
        <f>Summary!C11*$C$3</f>
        <v>560</v>
      </c>
      <c r="D15" s="108">
        <f t="shared" si="1"/>
        <v>28</v>
      </c>
      <c r="E15" s="108">
        <f t="shared" si="2"/>
        <v>28</v>
      </c>
      <c r="F15" s="108">
        <f aca="true" t="shared" si="7" ref="F15:T15">E15</f>
        <v>28</v>
      </c>
      <c r="G15" s="108">
        <f t="shared" si="7"/>
        <v>28</v>
      </c>
      <c r="H15" s="108">
        <f t="shared" si="7"/>
        <v>28</v>
      </c>
      <c r="I15" s="108">
        <f t="shared" si="7"/>
        <v>28</v>
      </c>
      <c r="J15" s="108">
        <f t="shared" si="7"/>
        <v>28</v>
      </c>
      <c r="K15" s="108">
        <f t="shared" si="7"/>
        <v>28</v>
      </c>
      <c r="L15" s="108">
        <f t="shared" si="7"/>
        <v>28</v>
      </c>
      <c r="M15" s="108">
        <f t="shared" si="7"/>
        <v>28</v>
      </c>
      <c r="N15" s="108">
        <f t="shared" si="7"/>
        <v>28</v>
      </c>
      <c r="O15" s="108">
        <f t="shared" si="7"/>
        <v>28</v>
      </c>
      <c r="P15" s="104"/>
      <c r="Q15" s="107" t="s">
        <v>70</v>
      </c>
      <c r="R15" s="108">
        <f t="shared" si="4"/>
        <v>28</v>
      </c>
      <c r="S15" s="108">
        <f t="shared" si="7"/>
        <v>28</v>
      </c>
      <c r="T15" s="108">
        <f t="shared" si="7"/>
        <v>28</v>
      </c>
      <c r="U15" s="108">
        <f t="shared" si="5"/>
        <v>28</v>
      </c>
      <c r="V15" s="108">
        <f t="shared" si="5"/>
        <v>28</v>
      </c>
      <c r="W15" s="108">
        <f t="shared" si="5"/>
        <v>28</v>
      </c>
      <c r="X15" s="108">
        <f t="shared" si="5"/>
        <v>28</v>
      </c>
      <c r="Y15" s="108">
        <f t="shared" si="5"/>
        <v>28</v>
      </c>
    </row>
    <row r="16" spans="1:25" ht="15">
      <c r="A16" s="104"/>
      <c r="B16" s="107" t="s">
        <v>122</v>
      </c>
      <c r="C16" s="108">
        <f>Summary!C12*$C$3</f>
        <v>1800</v>
      </c>
      <c r="D16" s="108">
        <f t="shared" si="1"/>
        <v>90</v>
      </c>
      <c r="E16" s="108">
        <f t="shared" si="2"/>
        <v>90</v>
      </c>
      <c r="F16" s="108">
        <f aca="true" t="shared" si="8" ref="F16:T16">E16</f>
        <v>90</v>
      </c>
      <c r="G16" s="108">
        <f t="shared" si="8"/>
        <v>90</v>
      </c>
      <c r="H16" s="108">
        <f t="shared" si="8"/>
        <v>90</v>
      </c>
      <c r="I16" s="108">
        <f t="shared" si="8"/>
        <v>90</v>
      </c>
      <c r="J16" s="108">
        <f t="shared" si="8"/>
        <v>90</v>
      </c>
      <c r="K16" s="108">
        <f t="shared" si="8"/>
        <v>90</v>
      </c>
      <c r="L16" s="108">
        <f t="shared" si="8"/>
        <v>90</v>
      </c>
      <c r="M16" s="108">
        <f t="shared" si="8"/>
        <v>90</v>
      </c>
      <c r="N16" s="108">
        <f t="shared" si="8"/>
        <v>90</v>
      </c>
      <c r="O16" s="108">
        <f t="shared" si="8"/>
        <v>90</v>
      </c>
      <c r="P16" s="104"/>
      <c r="Q16" s="107" t="s">
        <v>122</v>
      </c>
      <c r="R16" s="108">
        <f t="shared" si="4"/>
        <v>90</v>
      </c>
      <c r="S16" s="108">
        <f t="shared" si="8"/>
        <v>90</v>
      </c>
      <c r="T16" s="108">
        <f t="shared" si="8"/>
        <v>90</v>
      </c>
      <c r="U16" s="108">
        <f t="shared" si="5"/>
        <v>90</v>
      </c>
      <c r="V16" s="108">
        <f t="shared" si="5"/>
        <v>90</v>
      </c>
      <c r="W16" s="108">
        <f t="shared" si="5"/>
        <v>90</v>
      </c>
      <c r="X16" s="108">
        <f t="shared" si="5"/>
        <v>90</v>
      </c>
      <c r="Y16" s="108">
        <f t="shared" si="5"/>
        <v>90</v>
      </c>
    </row>
    <row r="17" spans="1:25" ht="15">
      <c r="A17" s="104"/>
      <c r="B17" s="107" t="s">
        <v>123</v>
      </c>
      <c r="C17" s="108">
        <f>Summary!C13*$C$3</f>
        <v>1380</v>
      </c>
      <c r="D17" s="108">
        <f t="shared" si="1"/>
        <v>69</v>
      </c>
      <c r="E17" s="108">
        <f t="shared" si="2"/>
        <v>69</v>
      </c>
      <c r="F17" s="108">
        <f aca="true" t="shared" si="9" ref="F17:T17">E17</f>
        <v>69</v>
      </c>
      <c r="G17" s="108">
        <f t="shared" si="9"/>
        <v>69</v>
      </c>
      <c r="H17" s="108">
        <f t="shared" si="9"/>
        <v>69</v>
      </c>
      <c r="I17" s="108">
        <f t="shared" si="9"/>
        <v>69</v>
      </c>
      <c r="J17" s="108">
        <f t="shared" si="9"/>
        <v>69</v>
      </c>
      <c r="K17" s="108">
        <f t="shared" si="9"/>
        <v>69</v>
      </c>
      <c r="L17" s="108">
        <f t="shared" si="9"/>
        <v>69</v>
      </c>
      <c r="M17" s="108">
        <f t="shared" si="9"/>
        <v>69</v>
      </c>
      <c r="N17" s="108">
        <f t="shared" si="9"/>
        <v>69</v>
      </c>
      <c r="O17" s="108">
        <f t="shared" si="9"/>
        <v>69</v>
      </c>
      <c r="P17" s="104"/>
      <c r="Q17" s="107" t="s">
        <v>123</v>
      </c>
      <c r="R17" s="108">
        <f t="shared" si="4"/>
        <v>69</v>
      </c>
      <c r="S17" s="108">
        <f t="shared" si="9"/>
        <v>69</v>
      </c>
      <c r="T17" s="108">
        <f t="shared" si="9"/>
        <v>69</v>
      </c>
      <c r="U17" s="108">
        <f t="shared" si="5"/>
        <v>69</v>
      </c>
      <c r="V17" s="108">
        <f t="shared" si="5"/>
        <v>69</v>
      </c>
      <c r="W17" s="108">
        <f t="shared" si="5"/>
        <v>69</v>
      </c>
      <c r="X17" s="108">
        <f t="shared" si="5"/>
        <v>69</v>
      </c>
      <c r="Y17" s="108">
        <f t="shared" si="5"/>
        <v>69</v>
      </c>
    </row>
    <row r="18" spans="1:25" ht="15">
      <c r="A18" s="104"/>
      <c r="B18" s="107" t="s">
        <v>124</v>
      </c>
      <c r="C18" s="108">
        <f>Summary!C14*$C$3</f>
        <v>918.8</v>
      </c>
      <c r="D18" s="108">
        <f t="shared" si="1"/>
        <v>45.94</v>
      </c>
      <c r="E18" s="108">
        <f t="shared" si="2"/>
        <v>45.94</v>
      </c>
      <c r="F18" s="108">
        <f aca="true" t="shared" si="10" ref="F18:T18">E18</f>
        <v>45.94</v>
      </c>
      <c r="G18" s="108">
        <f t="shared" si="10"/>
        <v>45.94</v>
      </c>
      <c r="H18" s="108">
        <f t="shared" si="10"/>
        <v>45.94</v>
      </c>
      <c r="I18" s="108">
        <f t="shared" si="10"/>
        <v>45.94</v>
      </c>
      <c r="J18" s="108">
        <f t="shared" si="10"/>
        <v>45.94</v>
      </c>
      <c r="K18" s="108">
        <f t="shared" si="10"/>
        <v>45.94</v>
      </c>
      <c r="L18" s="108">
        <f t="shared" si="10"/>
        <v>45.94</v>
      </c>
      <c r="M18" s="108">
        <f t="shared" si="10"/>
        <v>45.94</v>
      </c>
      <c r="N18" s="108">
        <f t="shared" si="10"/>
        <v>45.94</v>
      </c>
      <c r="O18" s="108">
        <f t="shared" si="10"/>
        <v>45.94</v>
      </c>
      <c r="P18" s="104"/>
      <c r="Q18" s="107" t="s">
        <v>124</v>
      </c>
      <c r="R18" s="108">
        <f t="shared" si="4"/>
        <v>45.94</v>
      </c>
      <c r="S18" s="108">
        <f t="shared" si="10"/>
        <v>45.94</v>
      </c>
      <c r="T18" s="108">
        <f t="shared" si="10"/>
        <v>45.94</v>
      </c>
      <c r="U18" s="108">
        <f t="shared" si="5"/>
        <v>45.94</v>
      </c>
      <c r="V18" s="108">
        <f t="shared" si="5"/>
        <v>45.94</v>
      </c>
      <c r="W18" s="108">
        <f t="shared" si="5"/>
        <v>45.94</v>
      </c>
      <c r="X18" s="108">
        <f t="shared" si="5"/>
        <v>45.94</v>
      </c>
      <c r="Y18" s="108">
        <f t="shared" si="5"/>
        <v>45.94</v>
      </c>
    </row>
    <row r="19" spans="1:25" ht="15">
      <c r="A19" s="104"/>
      <c r="B19" s="107" t="s">
        <v>109</v>
      </c>
      <c r="C19" s="108">
        <f>Summary!C15*$C$3</f>
        <v>1600</v>
      </c>
      <c r="D19" s="108">
        <f t="shared" si="1"/>
        <v>80</v>
      </c>
      <c r="E19" s="108">
        <f t="shared" si="2"/>
        <v>80</v>
      </c>
      <c r="F19" s="108">
        <f aca="true" t="shared" si="11" ref="F19:T19">E19</f>
        <v>80</v>
      </c>
      <c r="G19" s="108">
        <f t="shared" si="11"/>
        <v>80</v>
      </c>
      <c r="H19" s="108">
        <f t="shared" si="11"/>
        <v>80</v>
      </c>
      <c r="I19" s="108">
        <f t="shared" si="11"/>
        <v>80</v>
      </c>
      <c r="J19" s="108">
        <f t="shared" si="11"/>
        <v>80</v>
      </c>
      <c r="K19" s="108">
        <f t="shared" si="11"/>
        <v>80</v>
      </c>
      <c r="L19" s="108">
        <f t="shared" si="11"/>
        <v>80</v>
      </c>
      <c r="M19" s="108">
        <f t="shared" si="11"/>
        <v>80</v>
      </c>
      <c r="N19" s="108">
        <f t="shared" si="11"/>
        <v>80</v>
      </c>
      <c r="O19" s="108">
        <f t="shared" si="11"/>
        <v>80</v>
      </c>
      <c r="P19" s="104"/>
      <c r="Q19" s="107" t="s">
        <v>109</v>
      </c>
      <c r="R19" s="108">
        <f t="shared" si="4"/>
        <v>80</v>
      </c>
      <c r="S19" s="108">
        <f t="shared" si="11"/>
        <v>80</v>
      </c>
      <c r="T19" s="108">
        <f t="shared" si="11"/>
        <v>80</v>
      </c>
      <c r="U19" s="108">
        <f t="shared" si="5"/>
        <v>80</v>
      </c>
      <c r="V19" s="108">
        <f t="shared" si="5"/>
        <v>80</v>
      </c>
      <c r="W19" s="108">
        <f t="shared" si="5"/>
        <v>80</v>
      </c>
      <c r="X19" s="108">
        <f t="shared" si="5"/>
        <v>80</v>
      </c>
      <c r="Y19" s="108">
        <f t="shared" si="5"/>
        <v>80</v>
      </c>
    </row>
    <row r="20" spans="1:25" ht="15">
      <c r="A20" s="104"/>
      <c r="B20" s="107" t="s">
        <v>125</v>
      </c>
      <c r="C20" s="108">
        <f>Summary!C16*$C$3</f>
        <v>300</v>
      </c>
      <c r="D20" s="108">
        <f t="shared" si="1"/>
        <v>15</v>
      </c>
      <c r="E20" s="108">
        <f t="shared" si="2"/>
        <v>15</v>
      </c>
      <c r="F20" s="108">
        <f aca="true" t="shared" si="12" ref="F20:T20">E20</f>
        <v>15</v>
      </c>
      <c r="G20" s="108">
        <f t="shared" si="12"/>
        <v>15</v>
      </c>
      <c r="H20" s="108">
        <f t="shared" si="12"/>
        <v>15</v>
      </c>
      <c r="I20" s="108">
        <f t="shared" si="12"/>
        <v>15</v>
      </c>
      <c r="J20" s="108">
        <f t="shared" si="12"/>
        <v>15</v>
      </c>
      <c r="K20" s="108">
        <f t="shared" si="12"/>
        <v>15</v>
      </c>
      <c r="L20" s="108">
        <f t="shared" si="12"/>
        <v>15</v>
      </c>
      <c r="M20" s="108">
        <f t="shared" si="12"/>
        <v>15</v>
      </c>
      <c r="N20" s="108">
        <f t="shared" si="12"/>
        <v>15</v>
      </c>
      <c r="O20" s="108">
        <f t="shared" si="12"/>
        <v>15</v>
      </c>
      <c r="P20" s="104"/>
      <c r="Q20" s="107" t="s">
        <v>125</v>
      </c>
      <c r="R20" s="108">
        <f t="shared" si="4"/>
        <v>15</v>
      </c>
      <c r="S20" s="108">
        <f t="shared" si="12"/>
        <v>15</v>
      </c>
      <c r="T20" s="108">
        <f t="shared" si="12"/>
        <v>15</v>
      </c>
      <c r="U20" s="108">
        <f t="shared" si="5"/>
        <v>15</v>
      </c>
      <c r="V20" s="108">
        <f t="shared" si="5"/>
        <v>15</v>
      </c>
      <c r="W20" s="108">
        <f t="shared" si="5"/>
        <v>15</v>
      </c>
      <c r="X20" s="108">
        <f t="shared" si="5"/>
        <v>15</v>
      </c>
      <c r="Y20" s="108">
        <f t="shared" si="5"/>
        <v>15</v>
      </c>
    </row>
    <row r="21" spans="1:25" ht="15">
      <c r="A21" s="104"/>
      <c r="B21" s="107" t="s">
        <v>126</v>
      </c>
      <c r="C21" s="108">
        <f>Summary!C17*$C$3</f>
        <v>12390</v>
      </c>
      <c r="D21" s="108">
        <f t="shared" si="1"/>
        <v>619.5</v>
      </c>
      <c r="E21" s="108">
        <f t="shared" si="2"/>
        <v>619.5</v>
      </c>
      <c r="F21" s="108">
        <f aca="true" t="shared" si="13" ref="F21:T21">E21</f>
        <v>619.5</v>
      </c>
      <c r="G21" s="108">
        <f t="shared" si="13"/>
        <v>619.5</v>
      </c>
      <c r="H21" s="108">
        <f t="shared" si="13"/>
        <v>619.5</v>
      </c>
      <c r="I21" s="108">
        <f t="shared" si="13"/>
        <v>619.5</v>
      </c>
      <c r="J21" s="108">
        <f t="shared" si="13"/>
        <v>619.5</v>
      </c>
      <c r="K21" s="108">
        <f t="shared" si="13"/>
        <v>619.5</v>
      </c>
      <c r="L21" s="108">
        <f t="shared" si="13"/>
        <v>619.5</v>
      </c>
      <c r="M21" s="108">
        <f t="shared" si="13"/>
        <v>619.5</v>
      </c>
      <c r="N21" s="108">
        <f t="shared" si="13"/>
        <v>619.5</v>
      </c>
      <c r="O21" s="108">
        <f t="shared" si="13"/>
        <v>619.5</v>
      </c>
      <c r="P21" s="104"/>
      <c r="Q21" s="107" t="s">
        <v>126</v>
      </c>
      <c r="R21" s="108">
        <f t="shared" si="4"/>
        <v>619.5</v>
      </c>
      <c r="S21" s="108">
        <f t="shared" si="13"/>
        <v>619.5</v>
      </c>
      <c r="T21" s="108">
        <f t="shared" si="13"/>
        <v>619.5</v>
      </c>
      <c r="U21" s="108">
        <f t="shared" si="5"/>
        <v>619.5</v>
      </c>
      <c r="V21" s="108">
        <f t="shared" si="5"/>
        <v>619.5</v>
      </c>
      <c r="W21" s="108">
        <f t="shared" si="5"/>
        <v>619.5</v>
      </c>
      <c r="X21" s="108">
        <f t="shared" si="5"/>
        <v>619.5</v>
      </c>
      <c r="Y21" s="108">
        <f t="shared" si="5"/>
        <v>619.5</v>
      </c>
    </row>
    <row r="22" spans="1:25" ht="15">
      <c r="A22" s="104"/>
      <c r="B22" s="107" t="s">
        <v>162</v>
      </c>
      <c r="C22" s="108">
        <f>Summary!C18*$C$3</f>
        <v>6300</v>
      </c>
      <c r="D22" s="108">
        <f t="shared" si="1"/>
        <v>315</v>
      </c>
      <c r="E22" s="108">
        <f t="shared" si="2"/>
        <v>315</v>
      </c>
      <c r="F22" s="108">
        <f aca="true" t="shared" si="14" ref="F22:T22">E22</f>
        <v>315</v>
      </c>
      <c r="G22" s="108">
        <f t="shared" si="14"/>
        <v>315</v>
      </c>
      <c r="H22" s="108">
        <f t="shared" si="14"/>
        <v>315</v>
      </c>
      <c r="I22" s="108">
        <f t="shared" si="14"/>
        <v>315</v>
      </c>
      <c r="J22" s="108">
        <f t="shared" si="14"/>
        <v>315</v>
      </c>
      <c r="K22" s="108">
        <f t="shared" si="14"/>
        <v>315</v>
      </c>
      <c r="L22" s="108">
        <f t="shared" si="14"/>
        <v>315</v>
      </c>
      <c r="M22" s="108">
        <f t="shared" si="14"/>
        <v>315</v>
      </c>
      <c r="N22" s="108">
        <f t="shared" si="14"/>
        <v>315</v>
      </c>
      <c r="O22" s="108">
        <f t="shared" si="14"/>
        <v>315</v>
      </c>
      <c r="P22" s="104"/>
      <c r="Q22" s="107" t="s">
        <v>162</v>
      </c>
      <c r="R22" s="108">
        <f t="shared" si="4"/>
        <v>315</v>
      </c>
      <c r="S22" s="108">
        <f t="shared" si="14"/>
        <v>315</v>
      </c>
      <c r="T22" s="108">
        <f t="shared" si="14"/>
        <v>315</v>
      </c>
      <c r="U22" s="108">
        <f t="shared" si="5"/>
        <v>315</v>
      </c>
      <c r="V22" s="108">
        <f t="shared" si="5"/>
        <v>315</v>
      </c>
      <c r="W22" s="108">
        <f t="shared" si="5"/>
        <v>315</v>
      </c>
      <c r="X22" s="108">
        <f t="shared" si="5"/>
        <v>315</v>
      </c>
      <c r="Y22" s="108">
        <f t="shared" si="5"/>
        <v>315</v>
      </c>
    </row>
    <row r="23" spans="1:25" ht="15">
      <c r="A23" s="104"/>
      <c r="B23" s="107" t="s">
        <v>163</v>
      </c>
      <c r="C23" s="108">
        <f>Summary!C19*$C$3</f>
        <v>3200</v>
      </c>
      <c r="D23" s="108">
        <f t="shared" si="1"/>
        <v>160</v>
      </c>
      <c r="E23" s="108">
        <f t="shared" si="2"/>
        <v>160</v>
      </c>
      <c r="F23" s="108">
        <f aca="true" t="shared" si="15" ref="F23:T23">E23</f>
        <v>160</v>
      </c>
      <c r="G23" s="108">
        <f t="shared" si="15"/>
        <v>160</v>
      </c>
      <c r="H23" s="108">
        <f t="shared" si="15"/>
        <v>160</v>
      </c>
      <c r="I23" s="108">
        <f t="shared" si="15"/>
        <v>160</v>
      </c>
      <c r="J23" s="108">
        <f t="shared" si="15"/>
        <v>160</v>
      </c>
      <c r="K23" s="108">
        <f t="shared" si="15"/>
        <v>160</v>
      </c>
      <c r="L23" s="108">
        <f t="shared" si="15"/>
        <v>160</v>
      </c>
      <c r="M23" s="108">
        <f t="shared" si="15"/>
        <v>160</v>
      </c>
      <c r="N23" s="108">
        <f t="shared" si="15"/>
        <v>160</v>
      </c>
      <c r="O23" s="108">
        <f t="shared" si="15"/>
        <v>160</v>
      </c>
      <c r="P23" s="104"/>
      <c r="Q23" s="107" t="s">
        <v>163</v>
      </c>
      <c r="R23" s="108">
        <f t="shared" si="4"/>
        <v>160</v>
      </c>
      <c r="S23" s="108">
        <f t="shared" si="15"/>
        <v>160</v>
      </c>
      <c r="T23" s="108">
        <f t="shared" si="15"/>
        <v>160</v>
      </c>
      <c r="U23" s="108">
        <f t="shared" si="5"/>
        <v>160</v>
      </c>
      <c r="V23" s="108">
        <f t="shared" si="5"/>
        <v>160</v>
      </c>
      <c r="W23" s="108">
        <f t="shared" si="5"/>
        <v>160</v>
      </c>
      <c r="X23" s="108">
        <f t="shared" si="5"/>
        <v>160</v>
      </c>
      <c r="Y23" s="108">
        <f t="shared" si="5"/>
        <v>160</v>
      </c>
    </row>
    <row r="24" spans="1:25" ht="15">
      <c r="A24" s="104"/>
      <c r="B24" s="107" t="s">
        <v>254</v>
      </c>
      <c r="C24" s="110">
        <f>Summary!C20*$C$3</f>
        <v>67848.8</v>
      </c>
      <c r="D24" s="110">
        <f t="shared" si="1"/>
        <v>3392.44</v>
      </c>
      <c r="E24" s="110">
        <f t="shared" si="2"/>
        <v>3392.44</v>
      </c>
      <c r="F24" s="110">
        <f aca="true" t="shared" si="16" ref="F24:T24">E24</f>
        <v>3392.44</v>
      </c>
      <c r="G24" s="110">
        <f t="shared" si="16"/>
        <v>3392.44</v>
      </c>
      <c r="H24" s="110">
        <f t="shared" si="16"/>
        <v>3392.44</v>
      </c>
      <c r="I24" s="110">
        <f t="shared" si="16"/>
        <v>3392.44</v>
      </c>
      <c r="J24" s="110">
        <f t="shared" si="16"/>
        <v>3392.44</v>
      </c>
      <c r="K24" s="110">
        <f t="shared" si="16"/>
        <v>3392.44</v>
      </c>
      <c r="L24" s="110">
        <f t="shared" si="16"/>
        <v>3392.44</v>
      </c>
      <c r="M24" s="110">
        <f t="shared" si="16"/>
        <v>3392.44</v>
      </c>
      <c r="N24" s="110">
        <f t="shared" si="16"/>
        <v>3392.44</v>
      </c>
      <c r="O24" s="110">
        <f t="shared" si="16"/>
        <v>3392.44</v>
      </c>
      <c r="P24" s="104"/>
      <c r="Q24" s="107" t="s">
        <v>254</v>
      </c>
      <c r="R24" s="110">
        <f t="shared" si="4"/>
        <v>3392.44</v>
      </c>
      <c r="S24" s="110">
        <f t="shared" si="16"/>
        <v>3392.44</v>
      </c>
      <c r="T24" s="110">
        <f t="shared" si="16"/>
        <v>3392.44</v>
      </c>
      <c r="U24" s="110">
        <f t="shared" si="5"/>
        <v>3392.44</v>
      </c>
      <c r="V24" s="110">
        <f t="shared" si="5"/>
        <v>3392.44</v>
      </c>
      <c r="W24" s="110">
        <f t="shared" si="5"/>
        <v>3392.44</v>
      </c>
      <c r="X24" s="110">
        <f t="shared" si="5"/>
        <v>3392.44</v>
      </c>
      <c r="Y24" s="110">
        <f t="shared" si="5"/>
        <v>3392.44</v>
      </c>
    </row>
    <row r="25" spans="1:25" ht="15">
      <c r="A25" s="104"/>
      <c r="B25" s="107" t="s">
        <v>164</v>
      </c>
      <c r="C25" s="108">
        <f>Summary!C21*$C$3</f>
        <v>1865.842</v>
      </c>
      <c r="D25" s="105">
        <f t="shared" si="1"/>
        <v>93.2921</v>
      </c>
      <c r="E25" s="105">
        <f t="shared" si="2"/>
        <v>93.2921</v>
      </c>
      <c r="F25" s="105">
        <f aca="true" t="shared" si="17" ref="F25:T25">E25</f>
        <v>93.2921</v>
      </c>
      <c r="G25" s="105">
        <f t="shared" si="17"/>
        <v>93.2921</v>
      </c>
      <c r="H25" s="105">
        <f t="shared" si="17"/>
        <v>93.2921</v>
      </c>
      <c r="I25" s="105">
        <f t="shared" si="17"/>
        <v>93.2921</v>
      </c>
      <c r="J25" s="105">
        <f t="shared" si="17"/>
        <v>93.2921</v>
      </c>
      <c r="K25" s="105">
        <f t="shared" si="17"/>
        <v>93.2921</v>
      </c>
      <c r="L25" s="105">
        <f t="shared" si="17"/>
        <v>93.2921</v>
      </c>
      <c r="M25" s="105">
        <f t="shared" si="17"/>
        <v>93.2921</v>
      </c>
      <c r="N25" s="105">
        <f t="shared" si="17"/>
        <v>93.2921</v>
      </c>
      <c r="O25" s="105">
        <f t="shared" si="17"/>
        <v>93.2921</v>
      </c>
      <c r="P25" s="104"/>
      <c r="Q25" s="107" t="s">
        <v>164</v>
      </c>
      <c r="R25" s="105">
        <f t="shared" si="4"/>
        <v>93.2921</v>
      </c>
      <c r="S25" s="105">
        <f t="shared" si="17"/>
        <v>93.2921</v>
      </c>
      <c r="T25" s="105">
        <f t="shared" si="17"/>
        <v>93.2921</v>
      </c>
      <c r="U25" s="105">
        <f t="shared" si="5"/>
        <v>93.2921</v>
      </c>
      <c r="V25" s="105">
        <f t="shared" si="5"/>
        <v>93.2921</v>
      </c>
      <c r="W25" s="105">
        <f t="shared" si="5"/>
        <v>93.2921</v>
      </c>
      <c r="X25" s="105">
        <f t="shared" si="5"/>
        <v>93.2921</v>
      </c>
      <c r="Y25" s="105">
        <f t="shared" si="5"/>
        <v>93.2921</v>
      </c>
    </row>
    <row r="26" spans="1:25" ht="15">
      <c r="A26" s="104"/>
      <c r="B26" s="107" t="s">
        <v>258</v>
      </c>
      <c r="C26" s="110">
        <f>SUM(C24:C25)</f>
        <v>69714.642</v>
      </c>
      <c r="D26" s="110">
        <f aca="true" t="shared" si="18" ref="D26:T26">SUM(D24:D25)</f>
        <v>3485.7321</v>
      </c>
      <c r="E26" s="110">
        <f t="shared" si="18"/>
        <v>3485.7321</v>
      </c>
      <c r="F26" s="110">
        <f t="shared" si="18"/>
        <v>3485.7321</v>
      </c>
      <c r="G26" s="110">
        <f t="shared" si="18"/>
        <v>3485.7321</v>
      </c>
      <c r="H26" s="110">
        <f t="shared" si="18"/>
        <v>3485.7321</v>
      </c>
      <c r="I26" s="110">
        <f t="shared" si="18"/>
        <v>3485.7321</v>
      </c>
      <c r="J26" s="110">
        <f t="shared" si="18"/>
        <v>3485.7321</v>
      </c>
      <c r="K26" s="110">
        <f t="shared" si="18"/>
        <v>3485.7321</v>
      </c>
      <c r="L26" s="110">
        <f t="shared" si="18"/>
        <v>3485.7321</v>
      </c>
      <c r="M26" s="110">
        <f t="shared" si="18"/>
        <v>3485.7321</v>
      </c>
      <c r="N26" s="110">
        <f t="shared" si="18"/>
        <v>3485.7321</v>
      </c>
      <c r="O26" s="110">
        <f t="shared" si="18"/>
        <v>3485.7321</v>
      </c>
      <c r="P26" s="104"/>
      <c r="Q26" s="107" t="s">
        <v>258</v>
      </c>
      <c r="R26" s="110">
        <f t="shared" si="18"/>
        <v>3485.7321</v>
      </c>
      <c r="S26" s="110">
        <f t="shared" si="18"/>
        <v>3485.7321</v>
      </c>
      <c r="T26" s="110">
        <f t="shared" si="18"/>
        <v>3485.7321</v>
      </c>
      <c r="U26" s="110">
        <f>SUM(U24:U25)</f>
        <v>3485.7321</v>
      </c>
      <c r="V26" s="110">
        <f>SUM(V24:V25)</f>
        <v>3485.7321</v>
      </c>
      <c r="W26" s="110">
        <f>SUM(W24:W25)</f>
        <v>3485.7321</v>
      </c>
      <c r="X26" s="110">
        <f>SUM(X24:X25)</f>
        <v>3485.7321</v>
      </c>
      <c r="Y26" s="110">
        <f>SUM(Y24:Y25)</f>
        <v>3485.7321</v>
      </c>
    </row>
    <row r="27" spans="1:20" ht="15">
      <c r="A27" s="104"/>
      <c r="B27" s="107"/>
      <c r="C27" s="142"/>
      <c r="D27" s="142"/>
      <c r="E27" s="142"/>
      <c r="F27" s="142"/>
      <c r="G27" s="142"/>
      <c r="H27" s="141"/>
      <c r="I27" s="141"/>
      <c r="J27" s="141"/>
      <c r="K27" s="141"/>
      <c r="L27" s="141"/>
      <c r="M27" s="141"/>
      <c r="N27" s="141"/>
      <c r="O27" s="141"/>
      <c r="P27" s="104"/>
      <c r="Q27" s="107"/>
      <c r="R27" s="141"/>
      <c r="S27" s="141"/>
      <c r="T27" s="141"/>
    </row>
    <row r="28" spans="1:25" ht="15">
      <c r="A28" s="104"/>
      <c r="B28" s="107"/>
      <c r="C28" s="105"/>
      <c r="D28" s="105"/>
      <c r="E28" s="105"/>
      <c r="F28" s="105"/>
      <c r="G28" s="105"/>
      <c r="H28" s="322" t="s">
        <v>354</v>
      </c>
      <c r="I28" s="323"/>
      <c r="J28" s="323"/>
      <c r="K28" s="323"/>
      <c r="L28" s="323"/>
      <c r="M28" s="323"/>
      <c r="N28" s="323"/>
      <c r="O28" s="323"/>
      <c r="P28" s="324" t="s">
        <v>354</v>
      </c>
      <c r="Q28" s="325"/>
      <c r="R28" s="325"/>
      <c r="S28" s="325"/>
      <c r="T28" s="325"/>
      <c r="U28" s="325"/>
      <c r="V28" s="325"/>
      <c r="W28" s="325"/>
      <c r="X28" s="325"/>
      <c r="Y28" s="325"/>
    </row>
    <row r="29" spans="1:25" s="95" customFormat="1" ht="15">
      <c r="A29" s="111"/>
      <c r="B29" s="112" t="s">
        <v>26</v>
      </c>
      <c r="C29" s="143"/>
      <c r="D29" s="144"/>
      <c r="E29" s="144"/>
      <c r="F29" s="144"/>
      <c r="G29" s="144"/>
      <c r="H29" s="108">
        <f>Summary!$E$10*$C$3</f>
        <v>1291</v>
      </c>
      <c r="I29" s="108">
        <f>Summary!$E$10*$C$3</f>
        <v>1291</v>
      </c>
      <c r="J29" s="108">
        <f>Summary!$E$10*$C$3</f>
        <v>1291</v>
      </c>
      <c r="K29" s="108">
        <f>Summary!$E$10*$C$3</f>
        <v>1291</v>
      </c>
      <c r="L29" s="108">
        <f>Summary!$E$10*$C$3</f>
        <v>1291</v>
      </c>
      <c r="M29" s="108">
        <f>Summary!$E$10*$C$3</f>
        <v>1291</v>
      </c>
      <c r="N29" s="108">
        <f>Summary!$E$10*$C$3</f>
        <v>1291</v>
      </c>
      <c r="O29" s="108">
        <f>Summary!$E$10*$C$3</f>
        <v>1291</v>
      </c>
      <c r="P29" s="111"/>
      <c r="Q29" s="112" t="s">
        <v>26</v>
      </c>
      <c r="R29" s="108">
        <f>Summary!$E$10*$C$3</f>
        <v>1291</v>
      </c>
      <c r="S29" s="108">
        <f>Summary!$E$10*$C$3</f>
        <v>1291</v>
      </c>
      <c r="T29" s="108">
        <f>Summary!$E$10*$C$3</f>
        <v>1291</v>
      </c>
      <c r="U29" s="108">
        <f>Summary!$E$10*$C$3</f>
        <v>1291</v>
      </c>
      <c r="V29" s="108">
        <f>Summary!$E$10*$C$3</f>
        <v>1291</v>
      </c>
      <c r="W29" s="108">
        <f>Summary!$E$10*$C$3</f>
        <v>1291</v>
      </c>
      <c r="X29" s="108">
        <f>Summary!$E$10*$C$3</f>
        <v>1291</v>
      </c>
      <c r="Y29" s="108">
        <f>Summary!$E$10*$C$3</f>
        <v>1291</v>
      </c>
    </row>
    <row r="30" spans="1:25" s="95" customFormat="1" ht="15">
      <c r="A30" s="111"/>
      <c r="B30" s="107" t="s">
        <v>70</v>
      </c>
      <c r="C30" s="143"/>
      <c r="D30" s="144"/>
      <c r="E30" s="144"/>
      <c r="F30" s="144"/>
      <c r="G30" s="144"/>
      <c r="H30" s="108">
        <f>Summary!$E$11*$C$3</f>
        <v>120</v>
      </c>
      <c r="I30" s="108">
        <f>Summary!$E$11*$C$3</f>
        <v>120</v>
      </c>
      <c r="J30" s="108">
        <f>Summary!$E$11*$C$3</f>
        <v>120</v>
      </c>
      <c r="K30" s="108">
        <f>Summary!$E$11*$C$3</f>
        <v>120</v>
      </c>
      <c r="L30" s="108">
        <f>Summary!$E$11*$C$3</f>
        <v>120</v>
      </c>
      <c r="M30" s="108">
        <f>Summary!$E$11*$C$3</f>
        <v>120</v>
      </c>
      <c r="N30" s="108">
        <f>Summary!$E$11*$C$3</f>
        <v>120</v>
      </c>
      <c r="O30" s="108">
        <f>Summary!$E$11*$C$3</f>
        <v>120</v>
      </c>
      <c r="P30" s="111"/>
      <c r="Q30" s="107" t="s">
        <v>70</v>
      </c>
      <c r="R30" s="108">
        <f>Summary!$E$11*$C$3</f>
        <v>120</v>
      </c>
      <c r="S30" s="108">
        <f>Summary!$E$11*$C$3</f>
        <v>120</v>
      </c>
      <c r="T30" s="108">
        <f>Summary!$E$11*$C$3</f>
        <v>120</v>
      </c>
      <c r="U30" s="108">
        <f>Summary!$E$11*$C$3</f>
        <v>120</v>
      </c>
      <c r="V30" s="108">
        <f>Summary!$E$11*$C$3</f>
        <v>120</v>
      </c>
      <c r="W30" s="108">
        <f>Summary!$E$11*$C$3</f>
        <v>120</v>
      </c>
      <c r="X30" s="108">
        <f>Summary!$E$11*$C$3</f>
        <v>120</v>
      </c>
      <c r="Y30" s="108">
        <f>Summary!$E$11*$C$3</f>
        <v>120</v>
      </c>
    </row>
    <row r="31" spans="1:25" s="95" customFormat="1" ht="15">
      <c r="A31" s="111"/>
      <c r="B31" s="107" t="s">
        <v>122</v>
      </c>
      <c r="C31" s="143"/>
      <c r="D31" s="144"/>
      <c r="E31" s="144"/>
      <c r="F31" s="144"/>
      <c r="G31" s="144"/>
      <c r="H31" s="108">
        <f>Summary!$E$12*$C$3</f>
        <v>600</v>
      </c>
      <c r="I31" s="108">
        <f>Summary!$E$12*$C$3</f>
        <v>600</v>
      </c>
      <c r="J31" s="108">
        <f>Summary!$E$12*$C$3</f>
        <v>600</v>
      </c>
      <c r="K31" s="108">
        <f>Summary!$E$12*$C$3</f>
        <v>600</v>
      </c>
      <c r="L31" s="108">
        <f>Summary!$E$12*$C$3</f>
        <v>600</v>
      </c>
      <c r="M31" s="108">
        <f>Summary!$E$12*$C$3</f>
        <v>600</v>
      </c>
      <c r="N31" s="108">
        <f>Summary!$E$12*$C$3</f>
        <v>600</v>
      </c>
      <c r="O31" s="108">
        <f>Summary!$E$12*$C$3</f>
        <v>600</v>
      </c>
      <c r="P31" s="111"/>
      <c r="Q31" s="107" t="s">
        <v>122</v>
      </c>
      <c r="R31" s="108">
        <f>Summary!$E$12*$C$3</f>
        <v>600</v>
      </c>
      <c r="S31" s="108">
        <f>Summary!$E$12*$C$3</f>
        <v>600</v>
      </c>
      <c r="T31" s="108">
        <f>Summary!$E$12*$C$3</f>
        <v>600</v>
      </c>
      <c r="U31" s="108">
        <f>Summary!$E$12*$C$3</f>
        <v>600</v>
      </c>
      <c r="V31" s="108">
        <f>Summary!$E$12*$C$3</f>
        <v>600</v>
      </c>
      <c r="W31" s="108">
        <f>Summary!$E$12*$C$3</f>
        <v>600</v>
      </c>
      <c r="X31" s="108">
        <f>Summary!$E$12*$C$3</f>
        <v>600</v>
      </c>
      <c r="Y31" s="108">
        <f>Summary!$E$12*$C$3</f>
        <v>600</v>
      </c>
    </row>
    <row r="32" spans="1:25" s="95" customFormat="1" ht="15">
      <c r="A32" s="111"/>
      <c r="B32" s="107" t="s">
        <v>123</v>
      </c>
      <c r="C32" s="143"/>
      <c r="D32" s="144"/>
      <c r="E32" s="144"/>
      <c r="F32" s="144"/>
      <c r="G32" s="144"/>
      <c r="H32" s="108">
        <f>Summary!$E$13*$C$3</f>
        <v>1170</v>
      </c>
      <c r="I32" s="108">
        <f>Summary!$E$13*$C$3</f>
        <v>1170</v>
      </c>
      <c r="J32" s="108">
        <f>Summary!$E$13*$C$3</f>
        <v>1170</v>
      </c>
      <c r="K32" s="108">
        <f>Summary!$E$13*$C$3</f>
        <v>1170</v>
      </c>
      <c r="L32" s="108">
        <f>Summary!$E$13*$C$3</f>
        <v>1170</v>
      </c>
      <c r="M32" s="108">
        <f>Summary!$E$13*$C$3</f>
        <v>1170</v>
      </c>
      <c r="N32" s="108">
        <f>Summary!$E$13*$C$3</f>
        <v>1170</v>
      </c>
      <c r="O32" s="108">
        <f>Summary!$E$13*$C$3</f>
        <v>1170</v>
      </c>
      <c r="P32" s="111"/>
      <c r="Q32" s="107" t="s">
        <v>123</v>
      </c>
      <c r="R32" s="108">
        <f>Summary!$E$13*$C$3</f>
        <v>1170</v>
      </c>
      <c r="S32" s="108">
        <f>Summary!$E$13*$C$3</f>
        <v>1170</v>
      </c>
      <c r="T32" s="108">
        <f>Summary!$E$13*$C$3</f>
        <v>1170</v>
      </c>
      <c r="U32" s="108">
        <f>Summary!$E$13*$C$3</f>
        <v>1170</v>
      </c>
      <c r="V32" s="108">
        <f>Summary!$E$13*$C$3</f>
        <v>1170</v>
      </c>
      <c r="W32" s="108">
        <f>Summary!$E$13*$C$3</f>
        <v>1170</v>
      </c>
      <c r="X32" s="108">
        <f>Summary!$E$13*$C$3</f>
        <v>1170</v>
      </c>
      <c r="Y32" s="108">
        <f>Summary!$E$13*$C$3</f>
        <v>1170</v>
      </c>
    </row>
    <row r="33" spans="1:25" s="95" customFormat="1" ht="15">
      <c r="A33" s="111"/>
      <c r="B33" s="107" t="s">
        <v>124</v>
      </c>
      <c r="C33" s="143"/>
      <c r="D33" s="144"/>
      <c r="E33" s="144"/>
      <c r="F33" s="144"/>
      <c r="G33" s="144"/>
      <c r="H33" s="108">
        <f>Summary!$E$14*$C$3</f>
        <v>530</v>
      </c>
      <c r="I33" s="108">
        <f>Summary!$E$14*$C$3</f>
        <v>530</v>
      </c>
      <c r="J33" s="108">
        <f>Summary!$E$14*$C$3</f>
        <v>530</v>
      </c>
      <c r="K33" s="108">
        <f>Summary!$E$14*$C$3</f>
        <v>530</v>
      </c>
      <c r="L33" s="108">
        <f>Summary!$E$14*$C$3</f>
        <v>530</v>
      </c>
      <c r="M33" s="108">
        <f>Summary!$E$14*$C$3</f>
        <v>530</v>
      </c>
      <c r="N33" s="108">
        <f>Summary!$E$14*$C$3</f>
        <v>530</v>
      </c>
      <c r="O33" s="108">
        <f>Summary!$E$14*$C$3</f>
        <v>530</v>
      </c>
      <c r="P33" s="111"/>
      <c r="Q33" s="107" t="s">
        <v>124</v>
      </c>
      <c r="R33" s="108">
        <f>Summary!$E$14*$C$3</f>
        <v>530</v>
      </c>
      <c r="S33" s="108">
        <f>Summary!$E$14*$C$3</f>
        <v>530</v>
      </c>
      <c r="T33" s="108">
        <f>Summary!$E$14*$C$3</f>
        <v>530</v>
      </c>
      <c r="U33" s="108">
        <f>Summary!$E$14*$C$3</f>
        <v>530</v>
      </c>
      <c r="V33" s="108">
        <f>Summary!$E$14*$C$3</f>
        <v>530</v>
      </c>
      <c r="W33" s="108">
        <f>Summary!$E$14*$C$3</f>
        <v>530</v>
      </c>
      <c r="X33" s="108">
        <f>Summary!$E$14*$C$3</f>
        <v>530</v>
      </c>
      <c r="Y33" s="108">
        <f>Summary!$E$14*$C$3</f>
        <v>530</v>
      </c>
    </row>
    <row r="34" spans="1:25" s="95" customFormat="1" ht="15">
      <c r="A34" s="111"/>
      <c r="B34" s="107" t="s">
        <v>109</v>
      </c>
      <c r="C34" s="143"/>
      <c r="D34" s="144"/>
      <c r="E34" s="144"/>
      <c r="F34" s="144"/>
      <c r="G34" s="144"/>
      <c r="H34" s="108">
        <f>Summary!$E$15*$C$3</f>
        <v>200</v>
      </c>
      <c r="I34" s="108">
        <f>Summary!$E$15*$C$3</f>
        <v>200</v>
      </c>
      <c r="J34" s="108">
        <f>Summary!$E$15*$C$3</f>
        <v>200</v>
      </c>
      <c r="K34" s="108">
        <f>Summary!$E$15*$C$3</f>
        <v>200</v>
      </c>
      <c r="L34" s="108">
        <f>Summary!$E$15*$C$3</f>
        <v>200</v>
      </c>
      <c r="M34" s="108">
        <f>Summary!$E$15*$C$3</f>
        <v>200</v>
      </c>
      <c r="N34" s="108">
        <f>Summary!$E$15*$C$3</f>
        <v>200</v>
      </c>
      <c r="O34" s="108">
        <f>Summary!$E$15*$C$3</f>
        <v>200</v>
      </c>
      <c r="P34" s="111"/>
      <c r="Q34" s="107" t="s">
        <v>109</v>
      </c>
      <c r="R34" s="108">
        <f>Summary!$E$15*$C$3</f>
        <v>200</v>
      </c>
      <c r="S34" s="108">
        <f>Summary!$E$15*$C$3</f>
        <v>200</v>
      </c>
      <c r="T34" s="108">
        <f>Summary!$E$15*$C$3</f>
        <v>200</v>
      </c>
      <c r="U34" s="108">
        <f>Summary!$E$15*$C$3</f>
        <v>200</v>
      </c>
      <c r="V34" s="108">
        <f>Summary!$E$15*$C$3</f>
        <v>200</v>
      </c>
      <c r="W34" s="108">
        <f>Summary!$E$15*$C$3</f>
        <v>200</v>
      </c>
      <c r="X34" s="108">
        <f>Summary!$E$15*$C$3</f>
        <v>200</v>
      </c>
      <c r="Y34" s="108">
        <f>Summary!$E$15*$C$3</f>
        <v>200</v>
      </c>
    </row>
    <row r="35" spans="1:25" ht="15">
      <c r="A35" s="104"/>
      <c r="B35" s="107" t="s">
        <v>125</v>
      </c>
      <c r="C35" s="142"/>
      <c r="D35" s="105"/>
      <c r="E35" s="105"/>
      <c r="F35" s="105"/>
      <c r="G35" s="105"/>
      <c r="H35" s="108">
        <f>Summary!$E$16*$C$3</f>
        <v>0</v>
      </c>
      <c r="I35" s="108">
        <f>Summary!$E$16*$C$3</f>
        <v>0</v>
      </c>
      <c r="J35" s="108">
        <f>Summary!$E$16*$C$3</f>
        <v>0</v>
      </c>
      <c r="K35" s="108">
        <f>Summary!$E$16*$C$3</f>
        <v>0</v>
      </c>
      <c r="L35" s="108">
        <f>Summary!$E$16*$C$3</f>
        <v>0</v>
      </c>
      <c r="M35" s="108">
        <f>Summary!$E$16*$C$3</f>
        <v>0</v>
      </c>
      <c r="N35" s="108">
        <f>Summary!$E$16*$C$3</f>
        <v>0</v>
      </c>
      <c r="O35" s="108">
        <f>Summary!$E$16*$C$3</f>
        <v>0</v>
      </c>
      <c r="P35" s="104"/>
      <c r="Q35" s="107" t="s">
        <v>125</v>
      </c>
      <c r="R35" s="108">
        <f>Summary!$E$16*$C$3</f>
        <v>0</v>
      </c>
      <c r="S35" s="108">
        <f>Summary!$E$16*$C$3</f>
        <v>0</v>
      </c>
      <c r="T35" s="108">
        <f>Summary!$E$16*$C$3</f>
        <v>0</v>
      </c>
      <c r="U35" s="108">
        <f>Summary!$E$16*$C$3</f>
        <v>0</v>
      </c>
      <c r="V35" s="108">
        <f>Summary!$E$16*$C$3</f>
        <v>0</v>
      </c>
      <c r="W35" s="108">
        <f>Summary!$E$16*$C$3</f>
        <v>0</v>
      </c>
      <c r="X35" s="108">
        <f>Summary!$E$16*$C$3</f>
        <v>0</v>
      </c>
      <c r="Y35" s="108">
        <f>Summary!$E$16*$C$3</f>
        <v>0</v>
      </c>
    </row>
    <row r="36" spans="1:25" ht="15">
      <c r="A36" s="104"/>
      <c r="B36" s="107" t="s">
        <v>126</v>
      </c>
      <c r="C36" s="142"/>
      <c r="D36" s="105"/>
      <c r="E36" s="105"/>
      <c r="F36" s="105"/>
      <c r="G36" s="105"/>
      <c r="H36" s="108">
        <f>Summary!$E$17*$C$3</f>
        <v>154.8</v>
      </c>
      <c r="I36" s="108">
        <f>Summary!$E$17*$C$3</f>
        <v>154.8</v>
      </c>
      <c r="J36" s="108">
        <f>Summary!$E$17*$C$3</f>
        <v>154.8</v>
      </c>
      <c r="K36" s="108">
        <f>Summary!$E$17*$C$3</f>
        <v>154.8</v>
      </c>
      <c r="L36" s="108">
        <f>Summary!$E$17*$C$3</f>
        <v>154.8</v>
      </c>
      <c r="M36" s="108">
        <f>Summary!$E$17*$C$3</f>
        <v>154.8</v>
      </c>
      <c r="N36" s="108">
        <f>Summary!$E$17*$C$3</f>
        <v>154.8</v>
      </c>
      <c r="O36" s="108">
        <f>Summary!$E$17*$C$3</f>
        <v>154.8</v>
      </c>
      <c r="P36" s="104"/>
      <c r="Q36" s="107" t="s">
        <v>126</v>
      </c>
      <c r="R36" s="108">
        <f>Summary!$E$17*$C$3</f>
        <v>154.8</v>
      </c>
      <c r="S36" s="108">
        <f>Summary!$E$17*$C$3</f>
        <v>154.8</v>
      </c>
      <c r="T36" s="108">
        <f>Summary!$E$17*$C$3</f>
        <v>154.8</v>
      </c>
      <c r="U36" s="108">
        <f>Summary!$E$17*$C$3</f>
        <v>154.8</v>
      </c>
      <c r="V36" s="108">
        <f>Summary!$E$17*$C$3</f>
        <v>154.8</v>
      </c>
      <c r="W36" s="108">
        <f>Summary!$E$17*$C$3</f>
        <v>154.8</v>
      </c>
      <c r="X36" s="108">
        <f>Summary!$E$17*$C$3</f>
        <v>154.8</v>
      </c>
      <c r="Y36" s="108">
        <f>Summary!$E$17*$C$3</f>
        <v>154.8</v>
      </c>
    </row>
    <row r="37" spans="1:25" ht="15">
      <c r="A37" s="104"/>
      <c r="B37" s="107" t="s">
        <v>162</v>
      </c>
      <c r="C37" s="142"/>
      <c r="D37" s="105"/>
      <c r="E37" s="105"/>
      <c r="F37" s="105"/>
      <c r="G37" s="105"/>
      <c r="H37" s="108">
        <f>Summary!$E$18*$C$3</f>
        <v>0</v>
      </c>
      <c r="I37" s="108">
        <f>Summary!$E$18*$C$3</f>
        <v>0</v>
      </c>
      <c r="J37" s="108">
        <f>Summary!$E$18*$C$3</f>
        <v>0</v>
      </c>
      <c r="K37" s="108">
        <f>Summary!$E$18*$C$3</f>
        <v>0</v>
      </c>
      <c r="L37" s="108">
        <f>Summary!$E$18*$C$3</f>
        <v>0</v>
      </c>
      <c r="M37" s="108">
        <f>Summary!$E$18*$C$3</f>
        <v>0</v>
      </c>
      <c r="N37" s="108">
        <f>Summary!$E$18*$C$3</f>
        <v>0</v>
      </c>
      <c r="O37" s="108">
        <f>Summary!$E$18*$C$3</f>
        <v>0</v>
      </c>
      <c r="P37" s="104"/>
      <c r="Q37" s="107" t="s">
        <v>162</v>
      </c>
      <c r="R37" s="108">
        <f>Summary!$E$18*$C$3</f>
        <v>0</v>
      </c>
      <c r="S37" s="108">
        <f>Summary!$E$18*$C$3</f>
        <v>0</v>
      </c>
      <c r="T37" s="108">
        <f>Summary!$E$18*$C$3</f>
        <v>0</v>
      </c>
      <c r="U37" s="108">
        <f>Summary!$E$18*$C$3</f>
        <v>0</v>
      </c>
      <c r="V37" s="108">
        <f>Summary!$E$18*$C$3</f>
        <v>0</v>
      </c>
      <c r="W37" s="108">
        <f>Summary!$E$18*$C$3</f>
        <v>0</v>
      </c>
      <c r="X37" s="108">
        <f>Summary!$E$18*$C$3</f>
        <v>0</v>
      </c>
      <c r="Y37" s="108">
        <f>Summary!$E$18*$C$3</f>
        <v>0</v>
      </c>
    </row>
    <row r="38" spans="1:25" s="95" customFormat="1" ht="15">
      <c r="A38" s="111"/>
      <c r="B38" s="112" t="s">
        <v>163</v>
      </c>
      <c r="C38" s="143"/>
      <c r="D38" s="144"/>
      <c r="E38" s="144"/>
      <c r="F38" s="144"/>
      <c r="G38" s="144"/>
      <c r="H38" s="173">
        <f>Summary!$E$19*$C$3</f>
        <v>800</v>
      </c>
      <c r="I38" s="173">
        <f>Summary!$E$19*$C$3</f>
        <v>800</v>
      </c>
      <c r="J38" s="173">
        <f>Summary!$E$19*$C$3</f>
        <v>800</v>
      </c>
      <c r="K38" s="173">
        <f>Summary!$E$19*$C$3</f>
        <v>800</v>
      </c>
      <c r="L38" s="173">
        <f>Summary!$E$19*$C$3</f>
        <v>800</v>
      </c>
      <c r="M38" s="173">
        <f>Summary!$E$19*$C$3</f>
        <v>800</v>
      </c>
      <c r="N38" s="173">
        <f>Summary!$E$19*$C$3</f>
        <v>800</v>
      </c>
      <c r="O38" s="173">
        <f>Summary!$E$19*$C$3</f>
        <v>800</v>
      </c>
      <c r="P38" s="111"/>
      <c r="Q38" s="112" t="s">
        <v>163</v>
      </c>
      <c r="R38" s="173">
        <f>Summary!$E$19*$C$3</f>
        <v>800</v>
      </c>
      <c r="S38" s="173">
        <f>Summary!$E$19*$C$3</f>
        <v>800</v>
      </c>
      <c r="T38" s="173">
        <f>Summary!$E$19*$C$3</f>
        <v>800</v>
      </c>
      <c r="U38" s="173">
        <f>Summary!$E$19*$C$3</f>
        <v>800</v>
      </c>
      <c r="V38" s="173">
        <f>Summary!$E$19*$C$3</f>
        <v>800</v>
      </c>
      <c r="W38" s="173">
        <f>Summary!$E$19*$C$3</f>
        <v>800</v>
      </c>
      <c r="X38" s="173">
        <f>Summary!$E$19*$C$3</f>
        <v>800</v>
      </c>
      <c r="Y38" s="173">
        <f>Summary!$E$19*$C$3</f>
        <v>800</v>
      </c>
    </row>
    <row r="39" spans="1:25" ht="15">
      <c r="A39" s="104"/>
      <c r="B39" s="107" t="s">
        <v>364</v>
      </c>
      <c r="C39" s="142"/>
      <c r="D39" s="105"/>
      <c r="E39" s="105"/>
      <c r="F39" s="105"/>
      <c r="G39" s="105"/>
      <c r="H39" s="110">
        <f>Summary!$E$20*$C$3</f>
        <v>4865.8</v>
      </c>
      <c r="I39" s="110">
        <f>Summary!$E$20*$C$3</f>
        <v>4865.8</v>
      </c>
      <c r="J39" s="110">
        <f>Summary!$E$20*$C$3</f>
        <v>4865.8</v>
      </c>
      <c r="K39" s="110">
        <f>Summary!$E$20*$C$3</f>
        <v>4865.8</v>
      </c>
      <c r="L39" s="110">
        <f>Summary!$E$20*$C$3</f>
        <v>4865.8</v>
      </c>
      <c r="M39" s="110">
        <f>Summary!$E$20*$C$3</f>
        <v>4865.8</v>
      </c>
      <c r="N39" s="110">
        <f>Summary!$E$20*$C$3</f>
        <v>4865.8</v>
      </c>
      <c r="O39" s="110">
        <f>Summary!$E$20*$C$3</f>
        <v>4865.8</v>
      </c>
      <c r="P39" s="104"/>
      <c r="Q39" s="107" t="s">
        <v>364</v>
      </c>
      <c r="R39" s="110">
        <f>Summary!$E$20*$C$3</f>
        <v>4865.8</v>
      </c>
      <c r="S39" s="110">
        <f>Summary!$E$20*$C$3</f>
        <v>4865.8</v>
      </c>
      <c r="T39" s="110">
        <f>Summary!$E$20*$C$3</f>
        <v>4865.8</v>
      </c>
      <c r="U39" s="110">
        <f>Summary!$E$20*$C$3</f>
        <v>4865.8</v>
      </c>
      <c r="V39" s="110">
        <f>Summary!$E$20*$C$3</f>
        <v>4865.8</v>
      </c>
      <c r="W39" s="110">
        <f>Summary!$E$20*$C$3</f>
        <v>4865.8</v>
      </c>
      <c r="X39" s="110">
        <f>Summary!$E$20*$C$3</f>
        <v>4865.8</v>
      </c>
      <c r="Y39" s="110">
        <f>Summary!$E$20*$C$3</f>
        <v>4865.8</v>
      </c>
    </row>
    <row r="40" spans="1:25" ht="15">
      <c r="A40" s="104"/>
      <c r="B40" s="107" t="s">
        <v>164</v>
      </c>
      <c r="C40" s="142"/>
      <c r="D40" s="105"/>
      <c r="E40" s="105"/>
      <c r="F40" s="105"/>
      <c r="G40" s="105"/>
      <c r="H40" s="108">
        <f>Summary!$E$21*$C$3</f>
        <v>133.8095</v>
      </c>
      <c r="I40" s="108">
        <f>Summary!$E$21*$C$3</f>
        <v>133.8095</v>
      </c>
      <c r="J40" s="108">
        <f>Summary!$E$21*$C$3</f>
        <v>133.8095</v>
      </c>
      <c r="K40" s="108">
        <f>Summary!$E$21*$C$3</f>
        <v>133.8095</v>
      </c>
      <c r="L40" s="108">
        <f>Summary!$E$21*$C$3</f>
        <v>133.8095</v>
      </c>
      <c r="M40" s="108">
        <f>Summary!$E$21*$C$3</f>
        <v>133.8095</v>
      </c>
      <c r="N40" s="108">
        <f>Summary!$E$21*$C$3</f>
        <v>133.8095</v>
      </c>
      <c r="O40" s="108">
        <f>Summary!$E$21*$C$3</f>
        <v>133.8095</v>
      </c>
      <c r="P40" s="104"/>
      <c r="Q40" s="107" t="s">
        <v>164</v>
      </c>
      <c r="R40" s="108">
        <f>Summary!$E$21*$C$3</f>
        <v>133.8095</v>
      </c>
      <c r="S40" s="108">
        <f>Summary!$E$21*$C$3</f>
        <v>133.8095</v>
      </c>
      <c r="T40" s="108">
        <f>Summary!$E$21*$C$3</f>
        <v>133.8095</v>
      </c>
      <c r="U40" s="108">
        <f>Summary!$E$21*$C$3</f>
        <v>133.8095</v>
      </c>
      <c r="V40" s="108">
        <f>Summary!$E$21*$C$3</f>
        <v>133.8095</v>
      </c>
      <c r="W40" s="108">
        <f>Summary!$E$21*$C$3</f>
        <v>133.8095</v>
      </c>
      <c r="X40" s="108">
        <f>Summary!$E$21*$C$3</f>
        <v>133.8095</v>
      </c>
      <c r="Y40" s="108">
        <f>Summary!$E$21*$C$3</f>
        <v>133.8095</v>
      </c>
    </row>
    <row r="41" spans="1:25" ht="15">
      <c r="A41" s="104"/>
      <c r="B41" s="107" t="s">
        <v>259</v>
      </c>
      <c r="C41" s="141"/>
      <c r="D41" s="141"/>
      <c r="E41" s="141"/>
      <c r="F41" s="141"/>
      <c r="G41" s="141"/>
      <c r="H41" s="110">
        <f>SUM(H39:H40)</f>
        <v>4999.6095000000005</v>
      </c>
      <c r="I41" s="110">
        <f aca="true" t="shared" si="19" ref="I41:T41">SUM(I39:I40)</f>
        <v>4999.6095000000005</v>
      </c>
      <c r="J41" s="110">
        <f t="shared" si="19"/>
        <v>4999.6095000000005</v>
      </c>
      <c r="K41" s="110">
        <f t="shared" si="19"/>
        <v>4999.6095000000005</v>
      </c>
      <c r="L41" s="110">
        <f t="shared" si="19"/>
        <v>4999.6095000000005</v>
      </c>
      <c r="M41" s="110">
        <f t="shared" si="19"/>
        <v>4999.6095000000005</v>
      </c>
      <c r="N41" s="110">
        <f t="shared" si="19"/>
        <v>4999.6095000000005</v>
      </c>
      <c r="O41" s="110">
        <f t="shared" si="19"/>
        <v>4999.6095000000005</v>
      </c>
      <c r="P41" s="104"/>
      <c r="Q41" s="107" t="s">
        <v>259</v>
      </c>
      <c r="R41" s="110">
        <f t="shared" si="19"/>
        <v>4999.6095000000005</v>
      </c>
      <c r="S41" s="110">
        <f t="shared" si="19"/>
        <v>4999.6095000000005</v>
      </c>
      <c r="T41" s="110">
        <f t="shared" si="19"/>
        <v>4999.6095000000005</v>
      </c>
      <c r="U41" s="110">
        <f>SUM(U39:U40)</f>
        <v>4999.6095000000005</v>
      </c>
      <c r="V41" s="110">
        <f>SUM(V39:V40)</f>
        <v>4999.6095000000005</v>
      </c>
      <c r="W41" s="110">
        <f>SUM(W39:W40)</f>
        <v>4999.6095000000005</v>
      </c>
      <c r="X41" s="110">
        <f>SUM(X39:X40)</f>
        <v>4999.6095000000005</v>
      </c>
      <c r="Y41" s="110">
        <f>SUM(Y39:Y40)</f>
        <v>4999.6095000000005</v>
      </c>
    </row>
    <row r="42" spans="1:25" ht="15">
      <c r="A42" s="104"/>
      <c r="B42" s="107"/>
      <c r="C42" s="142"/>
      <c r="D42" s="105"/>
      <c r="E42" s="105"/>
      <c r="F42" s="105"/>
      <c r="G42" s="105"/>
      <c r="H42" s="141"/>
      <c r="I42" s="105"/>
      <c r="J42" s="105"/>
      <c r="K42" s="105"/>
      <c r="L42" s="105"/>
      <c r="M42" s="105"/>
      <c r="N42" s="105"/>
      <c r="O42" s="105"/>
      <c r="P42" s="104"/>
      <c r="Q42" s="107"/>
      <c r="R42" s="105"/>
      <c r="S42" s="105"/>
      <c r="T42" s="105"/>
      <c r="U42" s="105"/>
      <c r="V42" s="105"/>
      <c r="W42" s="105"/>
      <c r="X42" s="105"/>
      <c r="Y42" s="105"/>
    </row>
    <row r="43" spans="1:25" ht="15">
      <c r="A43" s="104"/>
      <c r="B43" s="106" t="s">
        <v>28</v>
      </c>
      <c r="C43" s="113">
        <f>C26+C41</f>
        <v>69714.642</v>
      </c>
      <c r="D43" s="113">
        <f>C43/15</f>
        <v>4647.6428000000005</v>
      </c>
      <c r="E43" s="113">
        <f>D43</f>
        <v>4647.6428000000005</v>
      </c>
      <c r="F43" s="113">
        <f>E43</f>
        <v>4647.6428000000005</v>
      </c>
      <c r="G43" s="113">
        <f>F43</f>
        <v>4647.6428000000005</v>
      </c>
      <c r="H43" s="161">
        <f aca="true" t="shared" si="20" ref="H43:T43">H26+H41</f>
        <v>8485.3416</v>
      </c>
      <c r="I43" s="161">
        <f t="shared" si="20"/>
        <v>8485.3416</v>
      </c>
      <c r="J43" s="161">
        <f t="shared" si="20"/>
        <v>8485.3416</v>
      </c>
      <c r="K43" s="161">
        <f t="shared" si="20"/>
        <v>8485.3416</v>
      </c>
      <c r="L43" s="161">
        <f t="shared" si="20"/>
        <v>8485.3416</v>
      </c>
      <c r="M43" s="161">
        <f t="shared" si="20"/>
        <v>8485.3416</v>
      </c>
      <c r="N43" s="161">
        <f t="shared" si="20"/>
        <v>8485.3416</v>
      </c>
      <c r="O43" s="161">
        <f t="shared" si="20"/>
        <v>8485.3416</v>
      </c>
      <c r="P43" s="104"/>
      <c r="Q43" s="106" t="s">
        <v>28</v>
      </c>
      <c r="R43" s="161">
        <f t="shared" si="20"/>
        <v>8485.3416</v>
      </c>
      <c r="S43" s="161">
        <f t="shared" si="20"/>
        <v>8485.3416</v>
      </c>
      <c r="T43" s="161">
        <f t="shared" si="20"/>
        <v>8485.3416</v>
      </c>
      <c r="U43" s="161">
        <f>U26+U41</f>
        <v>8485.3416</v>
      </c>
      <c r="V43" s="161">
        <f>V26+V41</f>
        <v>8485.3416</v>
      </c>
      <c r="W43" s="161">
        <f>W26+W41</f>
        <v>8485.3416</v>
      </c>
      <c r="X43" s="161">
        <f>X26+X41</f>
        <v>8485.3416</v>
      </c>
      <c r="Y43" s="161">
        <f>Y26+Y41</f>
        <v>8485.3416</v>
      </c>
    </row>
    <row r="44" spans="1:25" ht="15">
      <c r="A44" s="104"/>
      <c r="B44" s="107"/>
      <c r="C44" s="105"/>
      <c r="D44" s="105"/>
      <c r="E44" s="105"/>
      <c r="F44" s="105"/>
      <c r="G44" s="105"/>
      <c r="H44" s="105"/>
      <c r="I44" s="105"/>
      <c r="J44" s="105"/>
      <c r="K44" s="105"/>
      <c r="L44" s="105"/>
      <c r="M44" s="105"/>
      <c r="N44" s="105"/>
      <c r="O44" s="105"/>
      <c r="P44" s="104"/>
      <c r="Q44" s="107"/>
      <c r="R44" s="105"/>
      <c r="S44" s="105"/>
      <c r="T44" s="105"/>
      <c r="U44" s="105"/>
      <c r="V44" s="105"/>
      <c r="W44" s="105"/>
      <c r="X44" s="105"/>
      <c r="Y44" s="105"/>
    </row>
    <row r="45" spans="1:25" ht="15">
      <c r="A45" s="104"/>
      <c r="B45" s="107"/>
      <c r="C45" s="105"/>
      <c r="D45" s="150" t="s">
        <v>238</v>
      </c>
      <c r="E45" s="150" t="s">
        <v>239</v>
      </c>
      <c r="F45" s="150" t="s">
        <v>240</v>
      </c>
      <c r="G45" s="150" t="s">
        <v>241</v>
      </c>
      <c r="H45" s="150" t="s">
        <v>242</v>
      </c>
      <c r="I45" s="150" t="s">
        <v>243</v>
      </c>
      <c r="J45" s="150" t="s">
        <v>244</v>
      </c>
      <c r="K45" s="150" t="s">
        <v>245</v>
      </c>
      <c r="L45" s="150" t="s">
        <v>246</v>
      </c>
      <c r="M45" s="150" t="s">
        <v>247</v>
      </c>
      <c r="N45" s="150" t="s">
        <v>248</v>
      </c>
      <c r="O45" s="150" t="s">
        <v>249</v>
      </c>
      <c r="P45" s="104"/>
      <c r="Q45" s="107"/>
      <c r="R45" s="150" t="s">
        <v>250</v>
      </c>
      <c r="S45" s="150" t="s">
        <v>251</v>
      </c>
      <c r="T45" s="150" t="s">
        <v>252</v>
      </c>
      <c r="U45" s="150" t="s">
        <v>348</v>
      </c>
      <c r="V45" s="150" t="s">
        <v>349</v>
      </c>
      <c r="W45" s="150" t="s">
        <v>350</v>
      </c>
      <c r="X45" s="150" t="s">
        <v>351</v>
      </c>
      <c r="Y45" s="150" t="s">
        <v>352</v>
      </c>
    </row>
    <row r="46" spans="1:20" ht="15">
      <c r="A46" s="104"/>
      <c r="B46" s="107"/>
      <c r="C46" s="105"/>
      <c r="D46" s="105"/>
      <c r="E46" s="105"/>
      <c r="F46" s="105"/>
      <c r="G46" s="105"/>
      <c r="H46" s="105"/>
      <c r="I46" s="105"/>
      <c r="J46" s="105"/>
      <c r="K46" s="105"/>
      <c r="L46" s="105"/>
      <c r="M46" s="105"/>
      <c r="N46" s="105"/>
      <c r="O46" s="105"/>
      <c r="P46" s="104"/>
      <c r="Q46" s="107"/>
      <c r="R46" s="105"/>
      <c r="S46" s="105"/>
      <c r="T46" s="105"/>
    </row>
    <row r="47" spans="1:25" ht="15">
      <c r="A47" s="104"/>
      <c r="B47" s="107"/>
      <c r="C47" s="105"/>
      <c r="D47" s="324" t="s">
        <v>355</v>
      </c>
      <c r="E47" s="325"/>
      <c r="F47" s="325"/>
      <c r="G47" s="325"/>
      <c r="H47" s="325"/>
      <c r="I47" s="325"/>
      <c r="J47" s="325"/>
      <c r="K47" s="325"/>
      <c r="L47" s="325"/>
      <c r="M47" s="325"/>
      <c r="N47" s="325"/>
      <c r="O47" s="326"/>
      <c r="P47" s="324" t="s">
        <v>355</v>
      </c>
      <c r="Q47" s="325"/>
      <c r="R47" s="325"/>
      <c r="S47" s="325"/>
      <c r="T47" s="325"/>
      <c r="U47" s="325"/>
      <c r="V47" s="325"/>
      <c r="W47" s="325"/>
      <c r="X47" s="325"/>
      <c r="Y47" s="325"/>
    </row>
    <row r="48" spans="1:20" ht="15">
      <c r="A48" s="106" t="s">
        <v>55</v>
      </c>
      <c r="B48" s="114"/>
      <c r="C48" s="145"/>
      <c r="D48" s="105"/>
      <c r="E48" s="105"/>
      <c r="F48" s="105"/>
      <c r="G48" s="105"/>
      <c r="H48" s="105"/>
      <c r="I48" s="105"/>
      <c r="J48" s="105"/>
      <c r="K48" s="105"/>
      <c r="L48" s="105"/>
      <c r="M48" s="105"/>
      <c r="N48" s="105"/>
      <c r="O48" s="105"/>
      <c r="P48" s="106" t="s">
        <v>55</v>
      </c>
      <c r="Q48" s="114"/>
      <c r="R48" s="105"/>
      <c r="S48" s="105"/>
      <c r="T48" s="105"/>
    </row>
    <row r="49" spans="1:25" ht="15">
      <c r="A49" s="107"/>
      <c r="B49" s="107" t="s">
        <v>29</v>
      </c>
      <c r="C49" s="108">
        <f>Summary!C25*$C$3</f>
        <v>14280</v>
      </c>
      <c r="D49" s="108">
        <f>Summary!$D$25*'Income Statement'!$C$3</f>
        <v>3570</v>
      </c>
      <c r="E49" s="108">
        <f>Summary!$D$25*'Income Statement'!$C$3</f>
        <v>3570</v>
      </c>
      <c r="F49" s="108">
        <f>Summary!$D$25*'Income Statement'!$C$3</f>
        <v>3570</v>
      </c>
      <c r="G49" s="108">
        <f>Summary!$D$25*'Income Statement'!$C$3</f>
        <v>3570</v>
      </c>
      <c r="H49" s="108">
        <f>Summary!$F$25*'Income Statement'!$C$3</f>
        <v>3570</v>
      </c>
      <c r="I49" s="108">
        <f>Summary!$F$25*'Income Statement'!$C$3</f>
        <v>3570</v>
      </c>
      <c r="J49" s="108">
        <f>Summary!$F$25*'Income Statement'!$C$3</f>
        <v>3570</v>
      </c>
      <c r="K49" s="108">
        <f>Summary!$F$25*'Income Statement'!$C$3</f>
        <v>3570</v>
      </c>
      <c r="L49" s="108">
        <f>Summary!$F$25*'Income Statement'!$C$3</f>
        <v>3570</v>
      </c>
      <c r="M49" s="108">
        <f>Summary!$F$25*'Income Statement'!$C$3</f>
        <v>3570</v>
      </c>
      <c r="N49" s="108">
        <f>Summary!$F$25*'Income Statement'!$C$3</f>
        <v>3570</v>
      </c>
      <c r="O49" s="108">
        <f>Summary!$F$25*'Income Statement'!$C$3</f>
        <v>3570</v>
      </c>
      <c r="P49" s="107"/>
      <c r="Q49" s="107" t="s">
        <v>29</v>
      </c>
      <c r="R49" s="108">
        <f>Summary!$F$25*'Income Statement'!$C$3</f>
        <v>3570</v>
      </c>
      <c r="S49" s="108">
        <f>Summary!$F$25*'Income Statement'!$C$3</f>
        <v>3570</v>
      </c>
      <c r="T49" s="108">
        <f>Summary!$F$25*'Income Statement'!$C$3</f>
        <v>3570</v>
      </c>
      <c r="U49" s="108">
        <f>Summary!$F$25*'Income Statement'!$C$3</f>
        <v>3570</v>
      </c>
      <c r="V49" s="108">
        <f>Summary!$F$25*'Income Statement'!$C$3</f>
        <v>3570</v>
      </c>
      <c r="W49" s="108">
        <f>Summary!$F$25*'Income Statement'!$C$3</f>
        <v>3570</v>
      </c>
      <c r="X49" s="108">
        <f>Summary!$F$25*'Income Statement'!$C$3</f>
        <v>3570</v>
      </c>
      <c r="Y49" s="108">
        <f>Summary!$F$25*'Income Statement'!$C$3</f>
        <v>3570</v>
      </c>
    </row>
    <row r="50" spans="1:25" ht="15">
      <c r="A50" s="107"/>
      <c r="B50" s="107" t="s">
        <v>30</v>
      </c>
      <c r="C50" s="108">
        <f>Summary!C26*$C$3</f>
        <v>23760</v>
      </c>
      <c r="D50" s="108">
        <f>Summary!$D$26*'Income Statement'!$C$3</f>
        <v>5940</v>
      </c>
      <c r="E50" s="108">
        <f>Summary!$D$26*'Income Statement'!$C$3</f>
        <v>5940</v>
      </c>
      <c r="F50" s="108">
        <f>Summary!$D$26*'Income Statement'!$C$3</f>
        <v>5940</v>
      </c>
      <c r="G50" s="108">
        <f>Summary!$D$26*'Income Statement'!$C$3</f>
        <v>5940</v>
      </c>
      <c r="H50" s="108">
        <f>Summary!$F$26*'Income Statement'!$C$3</f>
        <v>5940</v>
      </c>
      <c r="I50" s="108">
        <f>Summary!$F$26*'Income Statement'!$C$3</f>
        <v>5940</v>
      </c>
      <c r="J50" s="108">
        <f>Summary!$F$26*'Income Statement'!$C$3</f>
        <v>5940</v>
      </c>
      <c r="K50" s="108">
        <f>Summary!$F$26*'Income Statement'!$C$3</f>
        <v>5940</v>
      </c>
      <c r="L50" s="108">
        <f>Summary!$F$26*'Income Statement'!$C$3</f>
        <v>5940</v>
      </c>
      <c r="M50" s="108">
        <f>Summary!$F$26*'Income Statement'!$C$3</f>
        <v>5940</v>
      </c>
      <c r="N50" s="108">
        <f>Summary!$F$26*'Income Statement'!$C$3</f>
        <v>5940</v>
      </c>
      <c r="O50" s="108">
        <f>Summary!$F$26*'Income Statement'!$C$3</f>
        <v>5940</v>
      </c>
      <c r="P50" s="107"/>
      <c r="Q50" s="107" t="s">
        <v>30</v>
      </c>
      <c r="R50" s="108">
        <f>Summary!$F$26*'Income Statement'!$C$3</f>
        <v>5940</v>
      </c>
      <c r="S50" s="108">
        <f>Summary!$F$26*'Income Statement'!$C$3</f>
        <v>5940</v>
      </c>
      <c r="T50" s="108">
        <f>Summary!$F$26*'Income Statement'!$C$3</f>
        <v>5940</v>
      </c>
      <c r="U50" s="108">
        <f>Summary!$F$26*'Income Statement'!$C$3</f>
        <v>5940</v>
      </c>
      <c r="V50" s="108">
        <f>Summary!$F$26*'Income Statement'!$C$3</f>
        <v>5940</v>
      </c>
      <c r="W50" s="108">
        <f>Summary!$F$26*'Income Statement'!$C$3</f>
        <v>5940</v>
      </c>
      <c r="X50" s="108">
        <f>Summary!$F$26*'Income Statement'!$C$3</f>
        <v>5940</v>
      </c>
      <c r="Y50" s="108">
        <f>Summary!$F$26*'Income Statement'!$C$3</f>
        <v>5940</v>
      </c>
    </row>
    <row r="51" spans="1:25" ht="15">
      <c r="A51" s="107"/>
      <c r="B51" s="107" t="s">
        <v>230</v>
      </c>
      <c r="C51" s="110">
        <f>Summary!C27*$C$3</f>
        <v>38040</v>
      </c>
      <c r="D51" s="110">
        <f>SUM(D49:D50)</f>
        <v>9510</v>
      </c>
      <c r="E51" s="110">
        <f aca="true" t="shared" si="21" ref="E51:T51">SUM(E49:E50)</f>
        <v>9510</v>
      </c>
      <c r="F51" s="110">
        <f t="shared" si="21"/>
        <v>9510</v>
      </c>
      <c r="G51" s="110">
        <f t="shared" si="21"/>
        <v>9510</v>
      </c>
      <c r="H51" s="110">
        <f t="shared" si="21"/>
        <v>9510</v>
      </c>
      <c r="I51" s="110">
        <f t="shared" si="21"/>
        <v>9510</v>
      </c>
      <c r="J51" s="110">
        <f t="shared" si="21"/>
        <v>9510</v>
      </c>
      <c r="K51" s="110">
        <f t="shared" si="21"/>
        <v>9510</v>
      </c>
      <c r="L51" s="110">
        <f t="shared" si="21"/>
        <v>9510</v>
      </c>
      <c r="M51" s="110">
        <f t="shared" si="21"/>
        <v>9510</v>
      </c>
      <c r="N51" s="110">
        <f t="shared" si="21"/>
        <v>9510</v>
      </c>
      <c r="O51" s="110">
        <f t="shared" si="21"/>
        <v>9510</v>
      </c>
      <c r="P51" s="107"/>
      <c r="Q51" s="107" t="s">
        <v>230</v>
      </c>
      <c r="R51" s="110">
        <f t="shared" si="21"/>
        <v>9510</v>
      </c>
      <c r="S51" s="110">
        <f t="shared" si="21"/>
        <v>9510</v>
      </c>
      <c r="T51" s="110">
        <f t="shared" si="21"/>
        <v>9510</v>
      </c>
      <c r="U51" s="110">
        <f>SUM(U49:U50)</f>
        <v>9510</v>
      </c>
      <c r="V51" s="110">
        <f>SUM(V49:V50)</f>
        <v>9510</v>
      </c>
      <c r="W51" s="110">
        <f>SUM(W49:W50)</f>
        <v>9510</v>
      </c>
      <c r="X51" s="110">
        <f>SUM(X49:X50)</f>
        <v>9510</v>
      </c>
      <c r="Y51" s="110">
        <f>SUM(Y49:Y50)</f>
        <v>9510</v>
      </c>
    </row>
    <row r="52" spans="1:20" ht="15">
      <c r="A52" s="107"/>
      <c r="B52" s="107"/>
      <c r="C52" s="142"/>
      <c r="D52" s="142"/>
      <c r="E52" s="142"/>
      <c r="F52" s="142"/>
      <c r="G52" s="142"/>
      <c r="H52" s="142"/>
      <c r="I52" s="142"/>
      <c r="J52" s="142"/>
      <c r="K52" s="142"/>
      <c r="L52" s="142"/>
      <c r="M52" s="142"/>
      <c r="N52" s="142"/>
      <c r="O52" s="142"/>
      <c r="P52" s="107"/>
      <c r="Q52" s="107"/>
      <c r="R52" s="142"/>
      <c r="S52" s="142"/>
      <c r="T52" s="142"/>
    </row>
    <row r="53" spans="1:25" ht="15">
      <c r="A53" s="104"/>
      <c r="B53" s="104"/>
      <c r="C53" s="105"/>
      <c r="D53" s="105"/>
      <c r="E53" s="105"/>
      <c r="F53" s="105"/>
      <c r="G53" s="105"/>
      <c r="H53" s="105"/>
      <c r="I53" s="105"/>
      <c r="J53" s="105"/>
      <c r="K53" s="105"/>
      <c r="L53" s="105"/>
      <c r="M53" s="105"/>
      <c r="N53" s="105"/>
      <c r="O53" s="105"/>
      <c r="P53" s="104"/>
      <c r="Q53" s="104"/>
      <c r="R53" s="105"/>
      <c r="S53" s="105"/>
      <c r="T53" s="105"/>
      <c r="U53" s="105"/>
      <c r="V53" s="105"/>
      <c r="W53" s="105"/>
      <c r="X53" s="105"/>
      <c r="Y53" s="105"/>
    </row>
    <row r="54" spans="1:25" ht="30" customHeight="1">
      <c r="A54" s="321" t="s">
        <v>276</v>
      </c>
      <c r="B54" s="321"/>
      <c r="C54" s="113">
        <f>C43+C51</f>
        <v>107754.642</v>
      </c>
      <c r="D54" s="113">
        <f aca="true" t="shared" si="22" ref="D54:T54">D43+D51</f>
        <v>14157.642800000001</v>
      </c>
      <c r="E54" s="113">
        <f t="shared" si="22"/>
        <v>14157.642800000001</v>
      </c>
      <c r="F54" s="113">
        <f t="shared" si="22"/>
        <v>14157.642800000001</v>
      </c>
      <c r="G54" s="113">
        <f t="shared" si="22"/>
        <v>14157.642800000001</v>
      </c>
      <c r="H54" s="161">
        <f t="shared" si="22"/>
        <v>17995.3416</v>
      </c>
      <c r="I54" s="161">
        <f t="shared" si="22"/>
        <v>17995.3416</v>
      </c>
      <c r="J54" s="161">
        <f t="shared" si="22"/>
        <v>17995.3416</v>
      </c>
      <c r="K54" s="161">
        <f t="shared" si="22"/>
        <v>17995.3416</v>
      </c>
      <c r="L54" s="161">
        <f t="shared" si="22"/>
        <v>17995.3416</v>
      </c>
      <c r="M54" s="161">
        <f t="shared" si="22"/>
        <v>17995.3416</v>
      </c>
      <c r="N54" s="161">
        <f t="shared" si="22"/>
        <v>17995.3416</v>
      </c>
      <c r="O54" s="161">
        <f t="shared" si="22"/>
        <v>17995.3416</v>
      </c>
      <c r="P54" s="321" t="s">
        <v>276</v>
      </c>
      <c r="Q54" s="321"/>
      <c r="R54" s="161">
        <f t="shared" si="22"/>
        <v>17995.3416</v>
      </c>
      <c r="S54" s="161">
        <f t="shared" si="22"/>
        <v>17995.3416</v>
      </c>
      <c r="T54" s="161">
        <f t="shared" si="22"/>
        <v>17995.3416</v>
      </c>
      <c r="U54" s="161">
        <f>U43+U51</f>
        <v>17995.3416</v>
      </c>
      <c r="V54" s="161">
        <f>V43+V51</f>
        <v>17995.3416</v>
      </c>
      <c r="W54" s="161">
        <f>W43+W51</f>
        <v>17995.3416</v>
      </c>
      <c r="X54" s="161">
        <f>X43+X51</f>
        <v>17995.3416</v>
      </c>
      <c r="Y54" s="161">
        <f>Y43+Y51</f>
        <v>17995.3416</v>
      </c>
    </row>
    <row r="55" spans="1:20" ht="15">
      <c r="A55" s="106"/>
      <c r="B55" s="107"/>
      <c r="C55" s="146"/>
      <c r="D55" s="146"/>
      <c r="E55" s="146"/>
      <c r="F55" s="146"/>
      <c r="G55" s="146"/>
      <c r="H55" s="146"/>
      <c r="I55" s="146"/>
      <c r="J55" s="146"/>
      <c r="K55" s="146"/>
      <c r="L55" s="146"/>
      <c r="M55" s="146"/>
      <c r="N55" s="146"/>
      <c r="O55" s="146"/>
      <c r="P55" s="106"/>
      <c r="Q55" s="107"/>
      <c r="R55" s="146"/>
      <c r="S55" s="146"/>
      <c r="T55" s="146"/>
    </row>
    <row r="56" spans="1:20" ht="15">
      <c r="A56" s="104"/>
      <c r="B56" s="104"/>
      <c r="C56" s="81"/>
      <c r="D56" s="105"/>
      <c r="E56" s="105"/>
      <c r="F56" s="105"/>
      <c r="G56" s="105"/>
      <c r="H56" s="105"/>
      <c r="I56" s="105"/>
      <c r="J56" s="105"/>
      <c r="K56" s="105"/>
      <c r="L56" s="105"/>
      <c r="M56" s="105"/>
      <c r="N56" s="105"/>
      <c r="O56" s="105"/>
      <c r="P56" s="104"/>
      <c r="Q56" s="104"/>
      <c r="R56" s="105"/>
      <c r="S56" s="105"/>
      <c r="T56" s="105"/>
    </row>
    <row r="57" spans="1:20" ht="15">
      <c r="A57" s="106" t="s">
        <v>229</v>
      </c>
      <c r="B57" s="107"/>
      <c r="C57" s="145"/>
      <c r="D57" s="105"/>
      <c r="E57" s="105"/>
      <c r="F57" s="105"/>
      <c r="G57" s="105"/>
      <c r="H57" s="105"/>
      <c r="I57" s="105"/>
      <c r="J57" s="105"/>
      <c r="K57" s="105"/>
      <c r="L57" s="105"/>
      <c r="M57" s="105"/>
      <c r="N57" s="105"/>
      <c r="O57" s="105"/>
      <c r="P57" s="106" t="s">
        <v>229</v>
      </c>
      <c r="Q57" s="107"/>
      <c r="R57" s="105"/>
      <c r="S57" s="105"/>
      <c r="T57" s="105"/>
    </row>
    <row r="58" spans="1:25" ht="15">
      <c r="A58" s="107"/>
      <c r="B58" s="107" t="s">
        <v>31</v>
      </c>
      <c r="C58" s="105">
        <f>Summary!C32*$C$3</f>
        <v>7300</v>
      </c>
      <c r="D58" s="108">
        <f>Summary!$D$32*$C$3</f>
        <v>1825</v>
      </c>
      <c r="E58" s="108">
        <f>Summary!$D$32*$C$3</f>
        <v>1825</v>
      </c>
      <c r="F58" s="108">
        <f>Summary!$D$32*$C$3</f>
        <v>1825</v>
      </c>
      <c r="G58" s="108">
        <f>Summary!$D$32*$C$3</f>
        <v>1825</v>
      </c>
      <c r="H58" s="108">
        <f>Summary!$F$32*$C$3</f>
        <v>1825</v>
      </c>
      <c r="I58" s="108">
        <f>Summary!$F$32*$C$3</f>
        <v>1825</v>
      </c>
      <c r="J58" s="108">
        <f>Summary!$F$32*$C$3</f>
        <v>1825</v>
      </c>
      <c r="K58" s="108">
        <f>Summary!$F$32*$C$3</f>
        <v>1825</v>
      </c>
      <c r="L58" s="108">
        <f>Summary!$F$32*$C$3</f>
        <v>1825</v>
      </c>
      <c r="M58" s="108">
        <f>Summary!$F$32*$C$3</f>
        <v>1825</v>
      </c>
      <c r="N58" s="108">
        <f>Summary!$F$32*$C$3</f>
        <v>1825</v>
      </c>
      <c r="O58" s="108">
        <f>Summary!$F$32*$C$3</f>
        <v>1825</v>
      </c>
      <c r="P58" s="107"/>
      <c r="Q58" s="107" t="s">
        <v>31</v>
      </c>
      <c r="R58" s="108">
        <f>Summary!$F$32*$C$3</f>
        <v>1825</v>
      </c>
      <c r="S58" s="108">
        <f>Summary!$F$32*$C$3</f>
        <v>1825</v>
      </c>
      <c r="T58" s="108">
        <f>Summary!$F$32*$C$3</f>
        <v>1825</v>
      </c>
      <c r="U58" s="108">
        <f>Summary!$F$32*$C$3</f>
        <v>1825</v>
      </c>
      <c r="V58" s="108">
        <f>Summary!$F$32*$C$3</f>
        <v>1825</v>
      </c>
      <c r="W58" s="108">
        <f>Summary!$F$32*$C$3</f>
        <v>1825</v>
      </c>
      <c r="X58" s="108">
        <f>Summary!$F$32*$C$3</f>
        <v>1825</v>
      </c>
      <c r="Y58" s="108">
        <f>Summary!$F$32*$C$3</f>
        <v>1825</v>
      </c>
    </row>
    <row r="59" spans="1:25" ht="15">
      <c r="A59" s="107"/>
      <c r="B59" s="107" t="s">
        <v>32</v>
      </c>
      <c r="C59" s="105">
        <f>Summary!C33*$C$3</f>
        <v>3272.6</v>
      </c>
      <c r="D59" s="108">
        <f>Summary!$D$33*$C$3</f>
        <v>818.15</v>
      </c>
      <c r="E59" s="108">
        <f>Summary!$D$33*$C$3</f>
        <v>818.15</v>
      </c>
      <c r="F59" s="108">
        <f>Summary!$D$33*$C$3</f>
        <v>818.15</v>
      </c>
      <c r="G59" s="108">
        <f>Summary!$D$33*$C$3</f>
        <v>818.15</v>
      </c>
      <c r="H59" s="108">
        <f>Summary!$F$33*$C$3</f>
        <v>818.15</v>
      </c>
      <c r="I59" s="108">
        <f>Summary!$F$33*$C$3</f>
        <v>818.15</v>
      </c>
      <c r="J59" s="108">
        <f>Summary!$F$33*$C$3</f>
        <v>818.15</v>
      </c>
      <c r="K59" s="108">
        <f>Summary!$F$33*$C$3</f>
        <v>818.15</v>
      </c>
      <c r="L59" s="108">
        <f>Summary!$F$33*$C$3</f>
        <v>818.15</v>
      </c>
      <c r="M59" s="108">
        <f>Summary!$F$33*$C$3</f>
        <v>818.15</v>
      </c>
      <c r="N59" s="108">
        <f>Summary!$F$33*$C$3</f>
        <v>818.15</v>
      </c>
      <c r="O59" s="108">
        <f>Summary!$F$33*$C$3</f>
        <v>818.15</v>
      </c>
      <c r="P59" s="107"/>
      <c r="Q59" s="107" t="s">
        <v>32</v>
      </c>
      <c r="R59" s="108">
        <f>Summary!$F$33*$C$3</f>
        <v>818.15</v>
      </c>
      <c r="S59" s="108">
        <f>Summary!$F$33*$C$3</f>
        <v>818.15</v>
      </c>
      <c r="T59" s="108">
        <f>Summary!$F$33*$C$3</f>
        <v>818.15</v>
      </c>
      <c r="U59" s="108">
        <f>Summary!$F$33*$C$3</f>
        <v>818.15</v>
      </c>
      <c r="V59" s="108">
        <f>Summary!$F$33*$C$3</f>
        <v>818.15</v>
      </c>
      <c r="W59" s="108">
        <f>Summary!$F$33*$C$3</f>
        <v>818.15</v>
      </c>
      <c r="X59" s="108">
        <f>Summary!$F$33*$C$3</f>
        <v>818.15</v>
      </c>
      <c r="Y59" s="108">
        <f>Summary!$F$33*$C$3</f>
        <v>818.15</v>
      </c>
    </row>
    <row r="60" spans="1:25" ht="15">
      <c r="A60" s="107"/>
      <c r="B60" s="107" t="s">
        <v>44</v>
      </c>
      <c r="C60" s="105">
        <f>Summary!C34*$C$3</f>
        <v>5445</v>
      </c>
      <c r="D60" s="108">
        <f>Summary!$D$34*$C$3</f>
        <v>1361.25</v>
      </c>
      <c r="E60" s="108">
        <f>Summary!$D$34*$C$3</f>
        <v>1361.25</v>
      </c>
      <c r="F60" s="108">
        <f>Summary!$D$34*$C$3</f>
        <v>1361.25</v>
      </c>
      <c r="G60" s="108">
        <f>Summary!$D$34*$C$3</f>
        <v>1361.25</v>
      </c>
      <c r="H60" s="108">
        <f>Summary!$F$34*$C$3</f>
        <v>1361.25</v>
      </c>
      <c r="I60" s="108">
        <f>Summary!$F$34*$C$3</f>
        <v>1361.25</v>
      </c>
      <c r="J60" s="108">
        <f>Summary!$F$34*$C$3</f>
        <v>1361.25</v>
      </c>
      <c r="K60" s="108">
        <f>Summary!$F$34*$C$3</f>
        <v>1361.25</v>
      </c>
      <c r="L60" s="108">
        <f>Summary!$F$34*$C$3</f>
        <v>1361.25</v>
      </c>
      <c r="M60" s="108">
        <f>Summary!$F$34*$C$3</f>
        <v>1361.25</v>
      </c>
      <c r="N60" s="108">
        <f>Summary!$F$34*$C$3</f>
        <v>1361.25</v>
      </c>
      <c r="O60" s="108">
        <f>Summary!$F$34*$C$3</f>
        <v>1361.25</v>
      </c>
      <c r="P60" s="107"/>
      <c r="Q60" s="107" t="s">
        <v>44</v>
      </c>
      <c r="R60" s="108">
        <f>Summary!$F$34*$C$3</f>
        <v>1361.25</v>
      </c>
      <c r="S60" s="108">
        <f>Summary!$F$34*$C$3</f>
        <v>1361.25</v>
      </c>
      <c r="T60" s="108">
        <f>Summary!$F$34*$C$3</f>
        <v>1361.25</v>
      </c>
      <c r="U60" s="108">
        <f>Summary!$F$34*$C$3</f>
        <v>1361.25</v>
      </c>
      <c r="V60" s="108">
        <f>Summary!$F$34*$C$3</f>
        <v>1361.25</v>
      </c>
      <c r="W60" s="108">
        <f>Summary!$F$34*$C$3</f>
        <v>1361.25</v>
      </c>
      <c r="X60" s="108">
        <f>Summary!$F$34*$C$3</f>
        <v>1361.25</v>
      </c>
      <c r="Y60" s="108">
        <f>Summary!$F$34*$C$3</f>
        <v>1361.25</v>
      </c>
    </row>
    <row r="61" spans="1:25" ht="15">
      <c r="A61" s="116"/>
      <c r="B61" s="107" t="s">
        <v>232</v>
      </c>
      <c r="C61" s="141">
        <f>Summary!C35*$C$3</f>
        <v>16017.6</v>
      </c>
      <c r="D61" s="110">
        <f>SUM(D58:D60)</f>
        <v>4004.4</v>
      </c>
      <c r="E61" s="110">
        <f aca="true" t="shared" si="23" ref="E61:T61">SUM(E58:E60)</f>
        <v>4004.4</v>
      </c>
      <c r="F61" s="110">
        <f t="shared" si="23"/>
        <v>4004.4</v>
      </c>
      <c r="G61" s="110">
        <f t="shared" si="23"/>
        <v>4004.4</v>
      </c>
      <c r="H61" s="110">
        <f t="shared" si="23"/>
        <v>4004.4</v>
      </c>
      <c r="I61" s="110">
        <f t="shared" si="23"/>
        <v>4004.4</v>
      </c>
      <c r="J61" s="110">
        <f t="shared" si="23"/>
        <v>4004.4</v>
      </c>
      <c r="K61" s="110">
        <f t="shared" si="23"/>
        <v>4004.4</v>
      </c>
      <c r="L61" s="110">
        <f t="shared" si="23"/>
        <v>4004.4</v>
      </c>
      <c r="M61" s="110">
        <f t="shared" si="23"/>
        <v>4004.4</v>
      </c>
      <c r="N61" s="110">
        <f t="shared" si="23"/>
        <v>4004.4</v>
      </c>
      <c r="O61" s="110">
        <f t="shared" si="23"/>
        <v>4004.4</v>
      </c>
      <c r="P61" s="116"/>
      <c r="Q61" s="107" t="s">
        <v>232</v>
      </c>
      <c r="R61" s="110">
        <f t="shared" si="23"/>
        <v>4004.4</v>
      </c>
      <c r="S61" s="110">
        <f t="shared" si="23"/>
        <v>4004.4</v>
      </c>
      <c r="T61" s="110">
        <f t="shared" si="23"/>
        <v>4004.4</v>
      </c>
      <c r="U61" s="110">
        <f>SUM(U58:U60)</f>
        <v>4004.4</v>
      </c>
      <c r="V61" s="110">
        <f>SUM(V58:V60)</f>
        <v>4004.4</v>
      </c>
      <c r="W61" s="110">
        <f>SUM(W58:W60)</f>
        <v>4004.4</v>
      </c>
      <c r="X61" s="110">
        <f>SUM(X58:X60)</f>
        <v>4004.4</v>
      </c>
      <c r="Y61" s="110">
        <f>SUM(Y58:Y60)</f>
        <v>4004.4</v>
      </c>
    </row>
    <row r="62" spans="1:20" ht="15">
      <c r="A62" s="116"/>
      <c r="B62" s="107"/>
      <c r="C62" s="105"/>
      <c r="D62" s="105"/>
      <c r="E62" s="105"/>
      <c r="F62" s="105"/>
      <c r="G62" s="105"/>
      <c r="H62" s="105"/>
      <c r="I62" s="105"/>
      <c r="J62" s="105"/>
      <c r="K62" s="105"/>
      <c r="L62" s="105"/>
      <c r="M62" s="105"/>
      <c r="N62" s="105"/>
      <c r="O62" s="105"/>
      <c r="P62" s="116"/>
      <c r="Q62" s="107"/>
      <c r="R62" s="105"/>
      <c r="S62" s="105"/>
      <c r="T62" s="105"/>
    </row>
    <row r="63" spans="1:20" ht="15">
      <c r="A63" s="116"/>
      <c r="B63" s="107"/>
      <c r="C63" s="105"/>
      <c r="D63" s="105"/>
      <c r="E63" s="105"/>
      <c r="F63" s="105"/>
      <c r="G63" s="105"/>
      <c r="H63" s="105"/>
      <c r="I63" s="105"/>
      <c r="J63" s="105"/>
      <c r="K63" s="105"/>
      <c r="L63" s="105"/>
      <c r="M63" s="105"/>
      <c r="N63" s="105"/>
      <c r="O63" s="105"/>
      <c r="P63" s="116"/>
      <c r="Q63" s="107"/>
      <c r="R63" s="105"/>
      <c r="S63" s="105"/>
      <c r="T63" s="105"/>
    </row>
    <row r="64" spans="1:25" s="95" customFormat="1" ht="30" customHeight="1">
      <c r="A64" s="321" t="s">
        <v>275</v>
      </c>
      <c r="B64" s="321"/>
      <c r="C64" s="161">
        <f>+C54+C61</f>
        <v>123772.24200000001</v>
      </c>
      <c r="D64" s="161">
        <f aca="true" t="shared" si="24" ref="D64:T64">+D54+D61</f>
        <v>18162.042800000003</v>
      </c>
      <c r="E64" s="161">
        <f t="shared" si="24"/>
        <v>18162.042800000003</v>
      </c>
      <c r="F64" s="161">
        <f t="shared" si="24"/>
        <v>18162.042800000003</v>
      </c>
      <c r="G64" s="161">
        <f t="shared" si="24"/>
        <v>18162.042800000003</v>
      </c>
      <c r="H64" s="161">
        <f t="shared" si="24"/>
        <v>21999.7416</v>
      </c>
      <c r="I64" s="161">
        <f t="shared" si="24"/>
        <v>21999.7416</v>
      </c>
      <c r="J64" s="161">
        <f t="shared" si="24"/>
        <v>21999.7416</v>
      </c>
      <c r="K64" s="161">
        <f t="shared" si="24"/>
        <v>21999.7416</v>
      </c>
      <c r="L64" s="161">
        <f t="shared" si="24"/>
        <v>21999.7416</v>
      </c>
      <c r="M64" s="161">
        <f t="shared" si="24"/>
        <v>21999.7416</v>
      </c>
      <c r="N64" s="161">
        <f t="shared" si="24"/>
        <v>21999.7416</v>
      </c>
      <c r="O64" s="161">
        <f t="shared" si="24"/>
        <v>21999.7416</v>
      </c>
      <c r="P64" s="321" t="s">
        <v>275</v>
      </c>
      <c r="Q64" s="321"/>
      <c r="R64" s="161">
        <f t="shared" si="24"/>
        <v>21999.7416</v>
      </c>
      <c r="S64" s="161">
        <f t="shared" si="24"/>
        <v>21999.7416</v>
      </c>
      <c r="T64" s="161">
        <f t="shared" si="24"/>
        <v>21999.7416</v>
      </c>
      <c r="U64" s="161">
        <f>+U54+U61</f>
        <v>21999.7416</v>
      </c>
      <c r="V64" s="161">
        <f>+V54+V61</f>
        <v>21999.7416</v>
      </c>
      <c r="W64" s="161">
        <f>+W54+W61</f>
        <v>21999.7416</v>
      </c>
      <c r="X64" s="161">
        <f>+X54+X61</f>
        <v>21999.7416</v>
      </c>
      <c r="Y64" s="161">
        <f>+Y54+Y61</f>
        <v>21999.7416</v>
      </c>
    </row>
    <row r="65" spans="1:25" ht="15">
      <c r="A65" s="106"/>
      <c r="B65" s="107"/>
      <c r="C65" s="146"/>
      <c r="D65" s="146"/>
      <c r="E65" s="146"/>
      <c r="F65" s="146"/>
      <c r="G65" s="146"/>
      <c r="H65" s="146"/>
      <c r="I65" s="146"/>
      <c r="J65" s="146"/>
      <c r="K65" s="146"/>
      <c r="L65" s="146"/>
      <c r="M65" s="146"/>
      <c r="N65" s="146"/>
      <c r="O65" s="146"/>
      <c r="P65" s="106"/>
      <c r="Q65" s="107"/>
      <c r="R65" s="146"/>
      <c r="S65" s="146"/>
      <c r="T65" s="146"/>
      <c r="U65" s="146"/>
      <c r="V65" s="146"/>
      <c r="W65" s="146"/>
      <c r="X65" s="146"/>
      <c r="Y65" s="146"/>
    </row>
    <row r="66" spans="1:25" ht="15">
      <c r="A66" s="106"/>
      <c r="B66" s="107"/>
      <c r="C66" s="81"/>
      <c r="D66" s="146"/>
      <c r="E66" s="146"/>
      <c r="F66" s="146"/>
      <c r="G66" s="146"/>
      <c r="H66" s="146"/>
      <c r="I66" s="146"/>
      <c r="J66" s="146"/>
      <c r="K66" s="146"/>
      <c r="L66" s="146"/>
      <c r="M66" s="146"/>
      <c r="N66" s="146"/>
      <c r="O66" s="146"/>
      <c r="P66" s="106"/>
      <c r="Q66" s="107"/>
      <c r="R66" s="146"/>
      <c r="S66" s="146"/>
      <c r="T66" s="146"/>
      <c r="U66" s="146"/>
      <c r="V66" s="146"/>
      <c r="W66" s="146"/>
      <c r="X66" s="146"/>
      <c r="Y66" s="146"/>
    </row>
    <row r="67" spans="1:25" ht="15">
      <c r="A67" s="117" t="s">
        <v>231</v>
      </c>
      <c r="B67" s="106"/>
      <c r="C67" s="113">
        <f>Summary!C39*$C$3</f>
        <v>15487.5</v>
      </c>
      <c r="D67" s="113">
        <f>Summary!$D$39*'Income Statement'!$C$3</f>
        <v>774.375</v>
      </c>
      <c r="E67" s="113">
        <f>Summary!$D$39*'Income Statement'!$C$3</f>
        <v>774.375</v>
      </c>
      <c r="F67" s="113">
        <f>Summary!$D$39*'Income Statement'!$C$3</f>
        <v>774.375</v>
      </c>
      <c r="G67" s="113">
        <f>Summary!$D$39*'Income Statement'!$C$3</f>
        <v>774.375</v>
      </c>
      <c r="H67" s="113">
        <f>Summary!$F$39*'Income Statement'!$C$3</f>
        <v>15336.496212121212</v>
      </c>
      <c r="I67" s="113">
        <f>Summary!$F$39*'Income Statement'!$C$3</f>
        <v>15336.496212121212</v>
      </c>
      <c r="J67" s="113">
        <f>Summary!$F$39*'Income Statement'!$C$3</f>
        <v>15336.496212121212</v>
      </c>
      <c r="K67" s="113">
        <f>Summary!$F$39*'Income Statement'!$C$3</f>
        <v>15336.496212121212</v>
      </c>
      <c r="L67" s="113">
        <f>Summary!$F$39*'Income Statement'!$C$3</f>
        <v>15336.496212121212</v>
      </c>
      <c r="M67" s="113">
        <f>Summary!$F$39*'Income Statement'!$C$3</f>
        <v>15336.496212121212</v>
      </c>
      <c r="N67" s="113">
        <f>Summary!$F$39*'Income Statement'!$C$3</f>
        <v>15336.496212121212</v>
      </c>
      <c r="O67" s="113">
        <f>Summary!$F$39*'Income Statement'!$C$3</f>
        <v>15336.496212121212</v>
      </c>
      <c r="P67" s="117" t="s">
        <v>231</v>
      </c>
      <c r="Q67" s="106"/>
      <c r="R67" s="113">
        <f>Summary!$F$39*'Income Statement'!$C$3</f>
        <v>15336.496212121212</v>
      </c>
      <c r="S67" s="113">
        <f>Summary!$F$39*'Income Statement'!$C$3</f>
        <v>15336.496212121212</v>
      </c>
      <c r="T67" s="113">
        <f>Summary!$F$39*'Income Statement'!$C$3</f>
        <v>15336.496212121212</v>
      </c>
      <c r="U67" s="113">
        <f>Summary!$F$39*'Income Statement'!$C$3</f>
        <v>15336.496212121212</v>
      </c>
      <c r="V67" s="113">
        <f>Summary!$F$39*'Income Statement'!$C$3</f>
        <v>15336.496212121212</v>
      </c>
      <c r="W67" s="113">
        <f>Summary!$F$39*'Income Statement'!$C$3</f>
        <v>15336.496212121212</v>
      </c>
      <c r="X67" s="113">
        <f>Summary!$F$39*'Income Statement'!$C$3</f>
        <v>15336.496212121212</v>
      </c>
      <c r="Y67" s="113">
        <f>Summary!$F$39*'Income Statement'!$C$3</f>
        <v>15336.496212121212</v>
      </c>
    </row>
    <row r="68" spans="1:25" ht="15">
      <c r="A68" s="116"/>
      <c r="B68" s="107"/>
      <c r="C68" s="105"/>
      <c r="D68" s="105"/>
      <c r="E68" s="105"/>
      <c r="F68" s="105"/>
      <c r="G68" s="105"/>
      <c r="H68" s="105"/>
      <c r="I68" s="105"/>
      <c r="J68" s="105"/>
      <c r="K68" s="105"/>
      <c r="L68" s="105"/>
      <c r="M68" s="105"/>
      <c r="N68" s="105"/>
      <c r="O68" s="105"/>
      <c r="P68" s="116"/>
      <c r="Q68" s="107"/>
      <c r="R68" s="105"/>
      <c r="S68" s="105"/>
      <c r="T68" s="105"/>
      <c r="U68" s="105"/>
      <c r="V68" s="105"/>
      <c r="W68" s="105"/>
      <c r="X68" s="105"/>
      <c r="Y68" s="105"/>
    </row>
    <row r="69" spans="1:25" ht="15">
      <c r="A69" s="106" t="s">
        <v>63</v>
      </c>
      <c r="B69" s="114"/>
      <c r="C69" s="113">
        <f>C64+C67</f>
        <v>139259.74200000003</v>
      </c>
      <c r="D69" s="113">
        <f>D64+D67</f>
        <v>18936.417800000003</v>
      </c>
      <c r="E69" s="113">
        <f aca="true" t="shared" si="25" ref="E69:T69">E64+E67</f>
        <v>18936.417800000003</v>
      </c>
      <c r="F69" s="113">
        <f t="shared" si="25"/>
        <v>18936.417800000003</v>
      </c>
      <c r="G69" s="113">
        <f t="shared" si="25"/>
        <v>18936.417800000003</v>
      </c>
      <c r="H69" s="113">
        <f t="shared" si="25"/>
        <v>37336.23781212121</v>
      </c>
      <c r="I69" s="113">
        <f t="shared" si="25"/>
        <v>37336.23781212121</v>
      </c>
      <c r="J69" s="113">
        <f t="shared" si="25"/>
        <v>37336.23781212121</v>
      </c>
      <c r="K69" s="113">
        <f t="shared" si="25"/>
        <v>37336.23781212121</v>
      </c>
      <c r="L69" s="113">
        <f t="shared" si="25"/>
        <v>37336.23781212121</v>
      </c>
      <c r="M69" s="113">
        <f t="shared" si="25"/>
        <v>37336.23781212121</v>
      </c>
      <c r="N69" s="113">
        <f t="shared" si="25"/>
        <v>37336.23781212121</v>
      </c>
      <c r="O69" s="113">
        <f t="shared" si="25"/>
        <v>37336.23781212121</v>
      </c>
      <c r="P69" s="106" t="s">
        <v>63</v>
      </c>
      <c r="Q69" s="114"/>
      <c r="R69" s="113">
        <f t="shared" si="25"/>
        <v>37336.23781212121</v>
      </c>
      <c r="S69" s="113">
        <f t="shared" si="25"/>
        <v>37336.23781212121</v>
      </c>
      <c r="T69" s="113">
        <f t="shared" si="25"/>
        <v>37336.23781212121</v>
      </c>
      <c r="U69" s="113">
        <f>U64+U67</f>
        <v>37336.23781212121</v>
      </c>
      <c r="V69" s="113">
        <f>V64+V67</f>
        <v>37336.23781212121</v>
      </c>
      <c r="W69" s="113">
        <f>W64+W67</f>
        <v>37336.23781212121</v>
      </c>
      <c r="X69" s="113">
        <f>X64+X67</f>
        <v>37336.23781212121</v>
      </c>
      <c r="Y69" s="113">
        <f>Y64+Y67</f>
        <v>37336.23781212121</v>
      </c>
    </row>
    <row r="70" spans="1:25" ht="15">
      <c r="A70" s="106"/>
      <c r="B70" s="114"/>
      <c r="C70" s="115"/>
      <c r="D70" s="151" t="s">
        <v>238</v>
      </c>
      <c r="E70" s="151" t="s">
        <v>239</v>
      </c>
      <c r="F70" s="151" t="s">
        <v>240</v>
      </c>
      <c r="G70" s="151" t="s">
        <v>241</v>
      </c>
      <c r="H70" s="151" t="s">
        <v>242</v>
      </c>
      <c r="I70" s="151" t="s">
        <v>243</v>
      </c>
      <c r="J70" s="151" t="s">
        <v>244</v>
      </c>
      <c r="K70" s="151" t="s">
        <v>245</v>
      </c>
      <c r="L70" s="151" t="s">
        <v>246</v>
      </c>
      <c r="M70" s="151" t="s">
        <v>247</v>
      </c>
      <c r="N70" s="151" t="s">
        <v>248</v>
      </c>
      <c r="O70" s="151" t="s">
        <v>249</v>
      </c>
      <c r="P70" s="106"/>
      <c r="Q70" s="114"/>
      <c r="R70" s="151" t="s">
        <v>250</v>
      </c>
      <c r="S70" s="151" t="s">
        <v>251</v>
      </c>
      <c r="T70" s="151" t="s">
        <v>252</v>
      </c>
      <c r="U70" s="151" t="s">
        <v>348</v>
      </c>
      <c r="V70" s="151" t="s">
        <v>349</v>
      </c>
      <c r="W70" s="151" t="s">
        <v>350</v>
      </c>
      <c r="X70" s="151" t="s">
        <v>351</v>
      </c>
      <c r="Y70" s="151" t="s">
        <v>352</v>
      </c>
    </row>
    <row r="71" spans="1:25" ht="15">
      <c r="A71" s="106" t="s">
        <v>277</v>
      </c>
      <c r="B71" s="114"/>
      <c r="C71" s="146"/>
      <c r="D71" s="108">
        <f>D69</f>
        <v>18936.417800000003</v>
      </c>
      <c r="E71" s="108">
        <f aca="true" t="shared" si="26" ref="E71:T71">D71+E69</f>
        <v>37872.835600000006</v>
      </c>
      <c r="F71" s="108">
        <f t="shared" si="26"/>
        <v>56809.25340000001</v>
      </c>
      <c r="G71" s="108">
        <f t="shared" si="26"/>
        <v>75745.67120000001</v>
      </c>
      <c r="H71" s="108">
        <f t="shared" si="26"/>
        <v>113081.90901212122</v>
      </c>
      <c r="I71" s="108">
        <f t="shared" si="26"/>
        <v>150418.14682424243</v>
      </c>
      <c r="J71" s="108">
        <f t="shared" si="26"/>
        <v>187754.38463636365</v>
      </c>
      <c r="K71" s="108">
        <f t="shared" si="26"/>
        <v>225090.62244848488</v>
      </c>
      <c r="L71" s="108">
        <f t="shared" si="26"/>
        <v>262426.8602606061</v>
      </c>
      <c r="M71" s="108">
        <f t="shared" si="26"/>
        <v>299763.0980727273</v>
      </c>
      <c r="N71" s="108">
        <f t="shared" si="26"/>
        <v>337099.33588484855</v>
      </c>
      <c r="O71" s="108">
        <f t="shared" si="26"/>
        <v>374435.5736969698</v>
      </c>
      <c r="P71" s="106" t="s">
        <v>277</v>
      </c>
      <c r="Q71" s="114"/>
      <c r="R71" s="108">
        <f>O71+R69</f>
        <v>411771.811509091</v>
      </c>
      <c r="S71" s="108">
        <f t="shared" si="26"/>
        <v>449108.0493212122</v>
      </c>
      <c r="T71" s="108">
        <f t="shared" si="26"/>
        <v>486444.28713333345</v>
      </c>
      <c r="U71" s="108">
        <f>T71+U69</f>
        <v>523780.5249454547</v>
      </c>
      <c r="V71" s="108">
        <f>U71+V69</f>
        <v>561116.7627575758</v>
      </c>
      <c r="W71" s="108">
        <f>V71+W69</f>
        <v>598453.000569697</v>
      </c>
      <c r="X71" s="108">
        <f>W71+X69</f>
        <v>635789.2383818182</v>
      </c>
      <c r="Y71" s="108">
        <f>X71+Y69</f>
        <v>673125.4761939393</v>
      </c>
    </row>
    <row r="72" spans="1:25" ht="15">
      <c r="A72" s="106" t="s">
        <v>278</v>
      </c>
      <c r="B72" s="114"/>
      <c r="C72" s="146"/>
      <c r="D72" s="105">
        <f>D5</f>
        <v>0</v>
      </c>
      <c r="E72" s="105">
        <f aca="true" t="shared" si="27" ref="E72:T72">D72+E5</f>
        <v>0</v>
      </c>
      <c r="F72" s="105">
        <f t="shared" si="27"/>
        <v>0</v>
      </c>
      <c r="G72" s="105">
        <f t="shared" si="27"/>
        <v>1250</v>
      </c>
      <c r="H72" s="105">
        <f t="shared" si="27"/>
        <v>5750</v>
      </c>
      <c r="I72" s="105">
        <f t="shared" si="27"/>
        <v>17000</v>
      </c>
      <c r="J72" s="105">
        <f t="shared" si="27"/>
        <v>37750</v>
      </c>
      <c r="K72" s="105">
        <f t="shared" si="27"/>
        <v>69000</v>
      </c>
      <c r="L72" s="105">
        <f t="shared" si="27"/>
        <v>111000</v>
      </c>
      <c r="M72" s="105">
        <f t="shared" si="27"/>
        <v>160250</v>
      </c>
      <c r="N72" s="105">
        <f t="shared" si="27"/>
        <v>214000</v>
      </c>
      <c r="O72" s="105">
        <f t="shared" si="27"/>
        <v>256000</v>
      </c>
      <c r="P72" s="106" t="s">
        <v>278</v>
      </c>
      <c r="Q72" s="114"/>
      <c r="R72" s="105">
        <f>O72+R5</f>
        <v>300250</v>
      </c>
      <c r="S72" s="105">
        <f t="shared" si="27"/>
        <v>330500</v>
      </c>
      <c r="T72" s="105">
        <f t="shared" si="27"/>
        <v>365750</v>
      </c>
      <c r="U72" s="105">
        <f>T72+U5</f>
        <v>391500</v>
      </c>
      <c r="V72" s="105">
        <f>U72+V5</f>
        <v>426750</v>
      </c>
      <c r="W72" s="105">
        <f>V72+W5</f>
        <v>452500</v>
      </c>
      <c r="X72" s="105">
        <f>W72+X5</f>
        <v>487750</v>
      </c>
      <c r="Y72" s="105">
        <f>X72+Y5</f>
        <v>527500</v>
      </c>
    </row>
    <row r="73" spans="1:25" ht="15">
      <c r="A73" s="104" t="s">
        <v>279</v>
      </c>
      <c r="B73" s="104"/>
      <c r="C73" s="105"/>
      <c r="D73" s="105"/>
      <c r="E73" s="105"/>
      <c r="F73" s="105"/>
      <c r="G73" s="109">
        <f>G71/G72</f>
        <v>60.59653696000001</v>
      </c>
      <c r="H73" s="109">
        <f aca="true" t="shared" si="28" ref="H73:T73">H71/H72</f>
        <v>19.666418958629777</v>
      </c>
      <c r="I73" s="109">
        <f t="shared" si="28"/>
        <v>8.848126283778967</v>
      </c>
      <c r="J73" s="109">
        <f t="shared" si="28"/>
        <v>4.973626083082481</v>
      </c>
      <c r="K73" s="109">
        <f t="shared" si="28"/>
        <v>3.2621829340360127</v>
      </c>
      <c r="L73" s="109">
        <f t="shared" si="28"/>
        <v>2.3642059482937485</v>
      </c>
      <c r="M73" s="109">
        <f t="shared" si="28"/>
        <v>1.870596555836052</v>
      </c>
      <c r="N73" s="109">
        <f t="shared" si="28"/>
        <v>1.575230541517984</v>
      </c>
      <c r="O73" s="109">
        <f t="shared" si="28"/>
        <v>1.462638959753788</v>
      </c>
      <c r="P73" s="104" t="s">
        <v>279</v>
      </c>
      <c r="Q73" s="104"/>
      <c r="R73" s="109">
        <f t="shared" si="28"/>
        <v>1.3714298468246162</v>
      </c>
      <c r="S73" s="109">
        <f t="shared" si="28"/>
        <v>1.3588745819098706</v>
      </c>
      <c r="T73" s="109">
        <f t="shared" si="28"/>
        <v>1.329991215675553</v>
      </c>
      <c r="U73" s="109">
        <f>U71/U72</f>
        <v>1.3378812897712764</v>
      </c>
      <c r="V73" s="109">
        <f>V71/V72</f>
        <v>1.3148606040013493</v>
      </c>
      <c r="W73" s="109">
        <f>W71/W72</f>
        <v>1.3225480675573416</v>
      </c>
      <c r="X73" s="109">
        <f>X71/X72</f>
        <v>1.3035145840734355</v>
      </c>
      <c r="Y73" s="109">
        <f>Y71/Y72</f>
        <v>1.2760672534482262</v>
      </c>
    </row>
    <row r="74" spans="1:25" s="133" customFormat="1" ht="15.75">
      <c r="A74" s="174" t="s">
        <v>392</v>
      </c>
      <c r="B74" s="174"/>
      <c r="C74" s="175"/>
      <c r="D74" s="173">
        <f aca="true" t="shared" si="29" ref="D74:T74">D7-D69</f>
        <v>-18936.417800000003</v>
      </c>
      <c r="E74" s="173">
        <f t="shared" si="29"/>
        <v>-18936.417800000003</v>
      </c>
      <c r="F74" s="173">
        <f t="shared" si="29"/>
        <v>-18936.417800000003</v>
      </c>
      <c r="G74" s="173">
        <f t="shared" si="29"/>
        <v>-16436.417800000003</v>
      </c>
      <c r="H74" s="173">
        <f t="shared" si="29"/>
        <v>-28336.23781212121</v>
      </c>
      <c r="I74" s="173">
        <f t="shared" si="29"/>
        <v>-14836.23781212121</v>
      </c>
      <c r="J74" s="173">
        <f t="shared" si="29"/>
        <v>4163.76218787879</v>
      </c>
      <c r="K74" s="173">
        <f t="shared" si="29"/>
        <v>25163.76218787879</v>
      </c>
      <c r="L74" s="173">
        <f t="shared" si="29"/>
        <v>46663.76218787879</v>
      </c>
      <c r="M74" s="173">
        <f t="shared" si="29"/>
        <v>61163.76218787879</v>
      </c>
      <c r="N74" s="173">
        <f t="shared" si="29"/>
        <v>70163.76218787879</v>
      </c>
      <c r="O74" s="173">
        <f t="shared" si="29"/>
        <v>46663.76218787879</v>
      </c>
      <c r="P74" s="174" t="s">
        <v>392</v>
      </c>
      <c r="Q74" s="174"/>
      <c r="R74" s="173">
        <f t="shared" si="29"/>
        <v>51163.76218787879</v>
      </c>
      <c r="S74" s="173">
        <f t="shared" si="29"/>
        <v>23163.76218787879</v>
      </c>
      <c r="T74" s="173">
        <f t="shared" si="29"/>
        <v>33163.76218787879</v>
      </c>
      <c r="U74" s="173">
        <f>U7-U69</f>
        <v>14163.76218787879</v>
      </c>
      <c r="V74" s="173">
        <f>V7-V69</f>
        <v>33163.76218787879</v>
      </c>
      <c r="W74" s="173">
        <f>W7-W69</f>
        <v>14163.76218787879</v>
      </c>
      <c r="X74" s="173">
        <f>X7-X69</f>
        <v>33163.76218787879</v>
      </c>
      <c r="Y74" s="173">
        <f>Y7-Y69</f>
        <v>42163.76218787879</v>
      </c>
    </row>
    <row r="75" spans="1:25" s="106" customFormat="1" ht="12.75">
      <c r="A75" s="169" t="s">
        <v>393</v>
      </c>
      <c r="D75" s="106">
        <f>D74</f>
        <v>-18936.417800000003</v>
      </c>
      <c r="E75" s="106">
        <f>D75+E74</f>
        <v>-37872.835600000006</v>
      </c>
      <c r="F75" s="106">
        <f aca="true" t="shared" si="30" ref="F75:T75">E75+F74</f>
        <v>-56809.25340000001</v>
      </c>
      <c r="G75" s="106">
        <f t="shared" si="30"/>
        <v>-73245.67120000001</v>
      </c>
      <c r="H75" s="106">
        <f t="shared" si="30"/>
        <v>-101581.90901212122</v>
      </c>
      <c r="I75" s="106">
        <f t="shared" si="30"/>
        <v>-116418.14682424243</v>
      </c>
      <c r="J75" s="106">
        <f t="shared" si="30"/>
        <v>-112254.38463636364</v>
      </c>
      <c r="K75" s="106">
        <f t="shared" si="30"/>
        <v>-87090.62244848485</v>
      </c>
      <c r="L75" s="106">
        <f t="shared" si="30"/>
        <v>-40426.86026060606</v>
      </c>
      <c r="M75" s="106">
        <f t="shared" si="30"/>
        <v>20736.90192727273</v>
      </c>
      <c r="N75" s="106">
        <f t="shared" si="30"/>
        <v>90900.66411515152</v>
      </c>
      <c r="O75" s="106">
        <f t="shared" si="30"/>
        <v>137564.4263030303</v>
      </c>
      <c r="P75" s="169" t="s">
        <v>393</v>
      </c>
      <c r="R75" s="106">
        <f>O75+R74</f>
        <v>188728.18849090912</v>
      </c>
      <c r="S75" s="106">
        <f t="shared" si="30"/>
        <v>211891.9506787879</v>
      </c>
      <c r="T75" s="106">
        <f t="shared" si="30"/>
        <v>245055.71286666667</v>
      </c>
      <c r="U75" s="106">
        <f>T75+U74</f>
        <v>259219.47505454544</v>
      </c>
      <c r="V75" s="106">
        <f>U75+V74</f>
        <v>292383.2372424242</v>
      </c>
      <c r="W75" s="106">
        <f>V75+W74</f>
        <v>306546.999430303</v>
      </c>
      <c r="X75" s="106">
        <f>W75+X74</f>
        <v>339710.7616181818</v>
      </c>
      <c r="Y75" s="106">
        <f>X75+Y74</f>
        <v>381874.52380606055</v>
      </c>
    </row>
    <row r="76" spans="1:20" ht="15">
      <c r="A76" s="104"/>
      <c r="B76" s="104"/>
      <c r="C76" s="104"/>
      <c r="D76" s="104"/>
      <c r="E76" s="104"/>
      <c r="F76" s="104"/>
      <c r="G76" s="104"/>
      <c r="H76" s="104"/>
      <c r="I76" s="104"/>
      <c r="J76" s="104"/>
      <c r="K76" s="104"/>
      <c r="L76" s="104"/>
      <c r="M76" s="104"/>
      <c r="N76" s="104"/>
      <c r="O76" s="104"/>
      <c r="P76" s="104"/>
      <c r="Q76" s="104"/>
      <c r="R76" s="104"/>
      <c r="S76" s="104"/>
      <c r="T76" s="104"/>
    </row>
    <row r="77" spans="1:16" ht="15">
      <c r="A77" s="104"/>
      <c r="P77" s="104"/>
    </row>
  </sheetData>
  <sheetProtection password="C6A6" sheet="1"/>
  <mergeCells count="10">
    <mergeCell ref="D9:O9"/>
    <mergeCell ref="P9:Y9"/>
    <mergeCell ref="A64:B64"/>
    <mergeCell ref="A54:B54"/>
    <mergeCell ref="P54:Q54"/>
    <mergeCell ref="P64:Q64"/>
    <mergeCell ref="H28:O28"/>
    <mergeCell ref="P28:Y28"/>
    <mergeCell ref="D47:O47"/>
    <mergeCell ref="P47:Y47"/>
  </mergeCells>
  <printOptions/>
  <pageMargins left="0.7480314960629921" right="0.7480314960629921" top="0.984251968503937" bottom="0.984251968503937" header="0.5118110236220472" footer="0.5118110236220472"/>
  <pageSetup firstPageNumber="16" useFirstPageNumber="1" horizontalDpi="300" verticalDpi="300" orientation="landscape" scale="70" r:id="rId1"/>
  <headerFooter alignWithMargins="0">
    <oddHeader>&amp;L&amp;11Guidelines:  Saskatoon Production Costs&amp;R&amp;11&amp;P</oddHeader>
    <oddFooter>&amp;R&amp;"Arial,Italic"&amp;11MAFRI, GO Team Branch and Crops Knowledge Centre</oddFooter>
  </headerFooter>
  <colBreaks count="1" manualBreakCount="1">
    <brk id="15" max="75" man="1"/>
  </colBreaks>
</worksheet>
</file>

<file path=xl/worksheets/sheet9.xml><?xml version="1.0" encoding="utf-8"?>
<worksheet xmlns="http://schemas.openxmlformats.org/spreadsheetml/2006/main" xmlns:r="http://schemas.openxmlformats.org/officeDocument/2006/relationships">
  <sheetPr codeName="Sheet7"/>
  <dimension ref="A1:AT69"/>
  <sheetViews>
    <sheetView zoomScaleSheetLayoutView="100" workbookViewId="0" topLeftCell="C1">
      <selection activeCell="H35" sqref="H35"/>
    </sheetView>
  </sheetViews>
  <sheetFormatPr defaultColWidth="8.88671875" defaultRowHeight="15"/>
  <cols>
    <col min="1" max="1" width="3.4453125" style="0" customWidth="1"/>
    <col min="2" max="2" width="27.3359375" style="0" customWidth="1"/>
    <col min="3" max="3" width="8.77734375" style="0" customWidth="1"/>
    <col min="13" max="13" width="3.4453125" style="0" customWidth="1"/>
    <col min="14" max="14" width="22.88671875" style="0" customWidth="1"/>
  </cols>
  <sheetData>
    <row r="1" spans="1:13" ht="23.25">
      <c r="A1" s="103" t="s">
        <v>380</v>
      </c>
      <c r="M1" s="103" t="s">
        <v>380</v>
      </c>
    </row>
    <row r="2" spans="1:46" ht="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row>
    <row r="3" spans="1:46" ht="15">
      <c r="A3" s="104"/>
      <c r="B3" s="104"/>
      <c r="C3" s="150" t="s">
        <v>360</v>
      </c>
      <c r="D3" s="150" t="s">
        <v>238</v>
      </c>
      <c r="E3" s="150" t="s">
        <v>239</v>
      </c>
      <c r="F3" s="150" t="s">
        <v>240</v>
      </c>
      <c r="G3" s="150" t="s">
        <v>241</v>
      </c>
      <c r="H3" s="150" t="s">
        <v>242</v>
      </c>
      <c r="I3" s="150" t="s">
        <v>243</v>
      </c>
      <c r="J3" s="150" t="s">
        <v>244</v>
      </c>
      <c r="K3" s="150" t="s">
        <v>245</v>
      </c>
      <c r="L3" s="150" t="s">
        <v>246</v>
      </c>
      <c r="M3" s="104"/>
      <c r="N3" s="104"/>
      <c r="O3" s="150" t="s">
        <v>247</v>
      </c>
      <c r="P3" s="150" t="s">
        <v>248</v>
      </c>
      <c r="Q3" s="150" t="s">
        <v>249</v>
      </c>
      <c r="R3" s="150" t="s">
        <v>250</v>
      </c>
      <c r="S3" s="150" t="s">
        <v>251</v>
      </c>
      <c r="T3" s="150" t="s">
        <v>252</v>
      </c>
      <c r="U3" s="150" t="s">
        <v>348</v>
      </c>
      <c r="V3" s="150" t="s">
        <v>349</v>
      </c>
      <c r="W3" s="150" t="s">
        <v>350</v>
      </c>
      <c r="X3" s="150" t="s">
        <v>351</v>
      </c>
      <c r="Y3" s="150" t="s">
        <v>352</v>
      </c>
      <c r="Z3" s="104"/>
      <c r="AA3" s="104"/>
      <c r="AB3" s="104"/>
      <c r="AC3" s="104"/>
      <c r="AD3" s="104"/>
      <c r="AE3" s="104"/>
      <c r="AF3" s="104"/>
      <c r="AG3" s="104"/>
      <c r="AH3" s="104"/>
      <c r="AI3" s="104"/>
      <c r="AJ3" s="104"/>
      <c r="AK3" s="104"/>
      <c r="AL3" s="104"/>
      <c r="AM3" s="104"/>
      <c r="AN3" s="104"/>
      <c r="AO3" s="104"/>
      <c r="AP3" s="104"/>
      <c r="AQ3" s="104"/>
      <c r="AR3" s="104"/>
      <c r="AS3" s="104"/>
      <c r="AT3" s="104"/>
    </row>
    <row r="4" spans="1:46" ht="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row>
    <row r="5" spans="1:46" ht="15">
      <c r="A5" s="169" t="s">
        <v>378</v>
      </c>
      <c r="B5" s="104"/>
      <c r="C5" s="104"/>
      <c r="D5" s="104"/>
      <c r="E5" s="104"/>
      <c r="F5" s="104"/>
      <c r="G5" s="104"/>
      <c r="H5" s="104"/>
      <c r="I5" s="104"/>
      <c r="J5" s="104"/>
      <c r="K5" s="104"/>
      <c r="L5" s="104"/>
      <c r="M5" s="169" t="s">
        <v>378</v>
      </c>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row>
    <row r="6" spans="1:46" s="95" customFormat="1" ht="15">
      <c r="A6" s="111"/>
      <c r="B6" s="111" t="s">
        <v>363</v>
      </c>
      <c r="C6" s="173">
        <f>5*2500</f>
        <v>12500</v>
      </c>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row>
    <row r="7" spans="1:46" ht="15">
      <c r="A7" s="104"/>
      <c r="B7" s="104" t="s">
        <v>362</v>
      </c>
      <c r="C7" s="108">
        <f>20*1500</f>
        <v>30000</v>
      </c>
      <c r="D7" s="104"/>
      <c r="E7" s="104"/>
      <c r="F7" s="104"/>
      <c r="G7" s="104"/>
      <c r="H7" s="104"/>
      <c r="I7" s="104"/>
      <c r="J7" s="104"/>
      <c r="K7" s="104"/>
      <c r="L7" s="104"/>
      <c r="M7" s="104"/>
      <c r="N7" s="104" t="s">
        <v>362</v>
      </c>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ht="15">
      <c r="A8" s="104"/>
      <c r="B8" s="104" t="s">
        <v>357</v>
      </c>
      <c r="C8" s="108">
        <f>SUM(Assumptions!C47:C51)+Assumptions!C53+Assumptions!C60</f>
        <v>56500</v>
      </c>
      <c r="D8" s="108"/>
      <c r="E8" s="108"/>
      <c r="F8" s="108"/>
      <c r="G8" s="108"/>
      <c r="H8" s="108"/>
      <c r="I8" s="108"/>
      <c r="J8" s="108"/>
      <c r="K8" s="108"/>
      <c r="L8" s="108"/>
      <c r="M8" s="104"/>
      <c r="N8" s="104" t="s">
        <v>357</v>
      </c>
      <c r="O8" s="108"/>
      <c r="P8" s="108"/>
      <c r="Q8" s="108"/>
      <c r="R8" s="108"/>
      <c r="S8" s="108"/>
      <c r="T8" s="108"/>
      <c r="U8" s="108"/>
      <c r="V8" s="108"/>
      <c r="W8" s="108"/>
      <c r="X8" s="108"/>
      <c r="Y8" s="108"/>
      <c r="Z8" s="104"/>
      <c r="AA8" s="104"/>
      <c r="AB8" s="104"/>
      <c r="AC8" s="104"/>
      <c r="AD8" s="104"/>
      <c r="AE8" s="104"/>
      <c r="AF8" s="104"/>
      <c r="AG8" s="104"/>
      <c r="AH8" s="104"/>
      <c r="AI8" s="104"/>
      <c r="AJ8" s="104"/>
      <c r="AK8" s="104"/>
      <c r="AL8" s="104"/>
      <c r="AM8" s="104"/>
      <c r="AN8" s="104"/>
      <c r="AO8" s="104"/>
      <c r="AP8" s="104"/>
      <c r="AQ8" s="104"/>
      <c r="AR8" s="104"/>
      <c r="AS8" s="104"/>
      <c r="AT8" s="104"/>
    </row>
    <row r="9" spans="1:46" ht="15">
      <c r="A9" s="104"/>
      <c r="B9" s="104" t="s">
        <v>377</v>
      </c>
      <c r="C9" s="108"/>
      <c r="D9" s="108"/>
      <c r="E9" s="108"/>
      <c r="F9" s="108">
        <f>SUM(Assumptions!C52,Assumptions!C59)</f>
        <v>42000</v>
      </c>
      <c r="G9" s="108"/>
      <c r="H9" s="108"/>
      <c r="I9" s="108"/>
      <c r="J9" s="108"/>
      <c r="K9" s="108"/>
      <c r="L9" s="108"/>
      <c r="M9" s="104"/>
      <c r="N9" s="104" t="s">
        <v>377</v>
      </c>
      <c r="O9" s="108"/>
      <c r="P9" s="108"/>
      <c r="Q9" s="108"/>
      <c r="R9" s="108"/>
      <c r="S9" s="108"/>
      <c r="T9" s="108"/>
      <c r="U9" s="108"/>
      <c r="V9" s="108"/>
      <c r="W9" s="108"/>
      <c r="X9" s="108"/>
      <c r="Y9" s="108"/>
      <c r="Z9" s="104"/>
      <c r="AA9" s="104"/>
      <c r="AB9" s="104"/>
      <c r="AC9" s="104"/>
      <c r="AD9" s="104"/>
      <c r="AE9" s="104"/>
      <c r="AF9" s="104"/>
      <c r="AG9" s="104"/>
      <c r="AH9" s="104"/>
      <c r="AI9" s="104"/>
      <c r="AJ9" s="104"/>
      <c r="AK9" s="104"/>
      <c r="AL9" s="104"/>
      <c r="AM9" s="104"/>
      <c r="AN9" s="104"/>
      <c r="AO9" s="104"/>
      <c r="AP9" s="104"/>
      <c r="AQ9" s="104"/>
      <c r="AR9" s="104"/>
      <c r="AS9" s="104"/>
      <c r="AT9" s="104"/>
    </row>
    <row r="10" spans="1:46" ht="15">
      <c r="A10" s="104"/>
      <c r="B10" s="104" t="s">
        <v>361</v>
      </c>
      <c r="C10" s="108"/>
      <c r="D10" s="108"/>
      <c r="E10" s="108"/>
      <c r="F10" s="108">
        <f>SUM(Assumptions!C56:C58)</f>
        <v>60000</v>
      </c>
      <c r="G10" s="108"/>
      <c r="H10" s="108"/>
      <c r="I10" s="108"/>
      <c r="J10" s="108"/>
      <c r="K10" s="108"/>
      <c r="L10" s="108"/>
      <c r="M10" s="104"/>
      <c r="N10" s="104" t="s">
        <v>361</v>
      </c>
      <c r="O10" s="108"/>
      <c r="P10" s="108"/>
      <c r="Q10" s="108"/>
      <c r="R10" s="108"/>
      <c r="S10" s="108"/>
      <c r="T10" s="108"/>
      <c r="U10" s="108"/>
      <c r="V10" s="108"/>
      <c r="W10" s="108"/>
      <c r="X10" s="108"/>
      <c r="Y10" s="108"/>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ht="15">
      <c r="A11" s="104" t="s">
        <v>358</v>
      </c>
      <c r="B11" s="104"/>
      <c r="C11" s="110">
        <f>SUM(C6:C10)</f>
        <v>99000</v>
      </c>
      <c r="D11" s="110">
        <f aca="true" t="shared" si="0" ref="D11:Y11">SUM(D6:D10)</f>
        <v>0</v>
      </c>
      <c r="E11" s="110">
        <f t="shared" si="0"/>
        <v>0</v>
      </c>
      <c r="F11" s="110">
        <f t="shared" si="0"/>
        <v>102000</v>
      </c>
      <c r="G11" s="110">
        <f t="shared" si="0"/>
        <v>0</v>
      </c>
      <c r="H11" s="110">
        <f t="shared" si="0"/>
        <v>0</v>
      </c>
      <c r="I11" s="110">
        <f t="shared" si="0"/>
        <v>0</v>
      </c>
      <c r="J11" s="110">
        <f t="shared" si="0"/>
        <v>0</v>
      </c>
      <c r="K11" s="110">
        <f t="shared" si="0"/>
        <v>0</v>
      </c>
      <c r="L11" s="110">
        <f t="shared" si="0"/>
        <v>0</v>
      </c>
      <c r="M11" s="104" t="s">
        <v>358</v>
      </c>
      <c r="N11" s="104"/>
      <c r="O11" s="110">
        <f t="shared" si="0"/>
        <v>0</v>
      </c>
      <c r="P11" s="110">
        <f t="shared" si="0"/>
        <v>0</v>
      </c>
      <c r="Q11" s="110">
        <f t="shared" si="0"/>
        <v>0</v>
      </c>
      <c r="R11" s="110">
        <f t="shared" si="0"/>
        <v>0</v>
      </c>
      <c r="S11" s="110">
        <f t="shared" si="0"/>
        <v>0</v>
      </c>
      <c r="T11" s="110">
        <f t="shared" si="0"/>
        <v>0</v>
      </c>
      <c r="U11" s="110">
        <f t="shared" si="0"/>
        <v>0</v>
      </c>
      <c r="V11" s="110">
        <f t="shared" si="0"/>
        <v>0</v>
      </c>
      <c r="W11" s="110">
        <f t="shared" si="0"/>
        <v>0</v>
      </c>
      <c r="X11" s="110">
        <f t="shared" si="0"/>
        <v>0</v>
      </c>
      <c r="Y11" s="110">
        <f t="shared" si="0"/>
        <v>0</v>
      </c>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spans="1:46" ht="15">
      <c r="A12" s="104"/>
      <c r="B12" s="104"/>
      <c r="C12" s="108"/>
      <c r="D12" s="108"/>
      <c r="E12" s="108"/>
      <c r="F12" s="108"/>
      <c r="G12" s="108"/>
      <c r="H12" s="108"/>
      <c r="I12" s="108"/>
      <c r="J12" s="108"/>
      <c r="K12" s="108"/>
      <c r="L12" s="108"/>
      <c r="M12" s="104"/>
      <c r="N12" s="104"/>
      <c r="O12" s="108"/>
      <c r="P12" s="108"/>
      <c r="Q12" s="108"/>
      <c r="R12" s="108"/>
      <c r="S12" s="108"/>
      <c r="T12" s="108"/>
      <c r="U12" s="108"/>
      <c r="V12" s="108"/>
      <c r="W12" s="108"/>
      <c r="X12" s="108"/>
      <c r="Y12" s="108"/>
      <c r="Z12" s="104"/>
      <c r="AA12" s="104"/>
      <c r="AB12" s="104"/>
      <c r="AC12" s="104"/>
      <c r="AD12" s="104"/>
      <c r="AE12" s="104"/>
      <c r="AF12" s="104"/>
      <c r="AG12" s="104"/>
      <c r="AH12" s="104"/>
      <c r="AI12" s="104"/>
      <c r="AJ12" s="104"/>
      <c r="AK12" s="104"/>
      <c r="AL12" s="104"/>
      <c r="AM12" s="104"/>
      <c r="AN12" s="104"/>
      <c r="AO12" s="104"/>
      <c r="AP12" s="104"/>
      <c r="AQ12" s="104"/>
      <c r="AR12" s="104"/>
      <c r="AS12" s="104"/>
      <c r="AT12" s="104"/>
    </row>
    <row r="13" spans="1:46" ht="15">
      <c r="A13" s="169" t="s">
        <v>359</v>
      </c>
      <c r="B13" s="169"/>
      <c r="C13" s="108"/>
      <c r="D13" s="108">
        <f>'Income Statement'!C26/4</f>
        <v>17428.6605</v>
      </c>
      <c r="E13" s="108">
        <f>D13</f>
        <v>17428.6605</v>
      </c>
      <c r="F13" s="108">
        <f>E13</f>
        <v>17428.6605</v>
      </c>
      <c r="G13" s="108">
        <f>F13</f>
        <v>17428.6605</v>
      </c>
      <c r="H13" s="108">
        <v>0</v>
      </c>
      <c r="I13" s="108">
        <v>0</v>
      </c>
      <c r="J13" s="108">
        <v>0</v>
      </c>
      <c r="K13" s="108">
        <v>0</v>
      </c>
      <c r="L13" s="108">
        <v>0</v>
      </c>
      <c r="M13" s="169" t="s">
        <v>359</v>
      </c>
      <c r="N13" s="169"/>
      <c r="O13" s="108">
        <v>0</v>
      </c>
      <c r="P13" s="108">
        <v>0</v>
      </c>
      <c r="Q13" s="108">
        <v>0</v>
      </c>
      <c r="R13" s="108">
        <v>0</v>
      </c>
      <c r="S13" s="108">
        <v>0</v>
      </c>
      <c r="T13" s="108">
        <v>0</v>
      </c>
      <c r="U13" s="108">
        <v>0</v>
      </c>
      <c r="V13" s="108">
        <v>0</v>
      </c>
      <c r="W13" s="108">
        <v>0</v>
      </c>
      <c r="X13" s="108">
        <v>0</v>
      </c>
      <c r="Y13" s="108">
        <v>0</v>
      </c>
      <c r="Z13" s="104"/>
      <c r="AA13" s="104"/>
      <c r="AB13" s="104"/>
      <c r="AC13" s="104"/>
      <c r="AD13" s="104"/>
      <c r="AE13" s="104"/>
      <c r="AF13" s="104"/>
      <c r="AG13" s="104"/>
      <c r="AH13" s="104"/>
      <c r="AI13" s="104"/>
      <c r="AJ13" s="104"/>
      <c r="AK13" s="104"/>
      <c r="AL13" s="104"/>
      <c r="AM13" s="104"/>
      <c r="AN13" s="104"/>
      <c r="AO13" s="104"/>
      <c r="AP13" s="104"/>
      <c r="AQ13" s="104"/>
      <c r="AR13" s="104"/>
      <c r="AS13" s="104"/>
      <c r="AT13" s="104"/>
    </row>
    <row r="14" spans="1:46" ht="15">
      <c r="A14" s="104"/>
      <c r="B14" s="104"/>
      <c r="C14" s="108"/>
      <c r="D14" s="108"/>
      <c r="E14" s="108"/>
      <c r="F14" s="108"/>
      <c r="G14" s="108"/>
      <c r="H14" s="108"/>
      <c r="I14" s="108"/>
      <c r="J14" s="108"/>
      <c r="K14" s="108"/>
      <c r="L14" s="108"/>
      <c r="M14" s="104"/>
      <c r="N14" s="104"/>
      <c r="O14" s="108"/>
      <c r="P14" s="108"/>
      <c r="Q14" s="108"/>
      <c r="R14" s="108"/>
      <c r="S14" s="108"/>
      <c r="T14" s="108"/>
      <c r="U14" s="108"/>
      <c r="V14" s="108"/>
      <c r="W14" s="108"/>
      <c r="X14" s="108"/>
      <c r="Y14" s="108"/>
      <c r="Z14" s="104"/>
      <c r="AA14" s="104"/>
      <c r="AB14" s="104"/>
      <c r="AC14" s="104"/>
      <c r="AD14" s="104"/>
      <c r="AE14" s="104"/>
      <c r="AF14" s="104"/>
      <c r="AG14" s="104"/>
      <c r="AH14" s="104"/>
      <c r="AI14" s="104"/>
      <c r="AJ14" s="104"/>
      <c r="AK14" s="104"/>
      <c r="AL14" s="104"/>
      <c r="AM14" s="104"/>
      <c r="AN14" s="104"/>
      <c r="AO14" s="104"/>
      <c r="AP14" s="104"/>
      <c r="AQ14" s="104"/>
      <c r="AR14" s="104"/>
      <c r="AS14" s="104"/>
      <c r="AT14" s="104"/>
    </row>
    <row r="15" spans="1:46" ht="15">
      <c r="A15" s="169" t="s">
        <v>365</v>
      </c>
      <c r="B15" s="169"/>
      <c r="C15" s="108"/>
      <c r="D15" s="108"/>
      <c r="E15" s="108"/>
      <c r="F15" s="108"/>
      <c r="G15" s="108"/>
      <c r="H15" s="108">
        <f>'Income Statement'!H41</f>
        <v>4999.6095000000005</v>
      </c>
      <c r="I15" s="108">
        <f>'Income Statement'!I41</f>
        <v>4999.6095000000005</v>
      </c>
      <c r="J15" s="108">
        <f>'Income Statement'!J41</f>
        <v>4999.6095000000005</v>
      </c>
      <c r="K15" s="108">
        <f>'Income Statement'!K41</f>
        <v>4999.6095000000005</v>
      </c>
      <c r="L15" s="108">
        <f>'Income Statement'!L41</f>
        <v>4999.6095000000005</v>
      </c>
      <c r="M15" s="169" t="s">
        <v>365</v>
      </c>
      <c r="N15" s="169"/>
      <c r="O15" s="108">
        <f>'Income Statement'!M41</f>
        <v>4999.6095000000005</v>
      </c>
      <c r="P15" s="108">
        <f>'Income Statement'!N41</f>
        <v>4999.6095000000005</v>
      </c>
      <c r="Q15" s="108">
        <f>'Income Statement'!O41</f>
        <v>4999.6095000000005</v>
      </c>
      <c r="R15" s="108">
        <f>'Income Statement'!R41</f>
        <v>4999.6095000000005</v>
      </c>
      <c r="S15" s="108">
        <f>'Income Statement'!S41</f>
        <v>4999.6095000000005</v>
      </c>
      <c r="T15" s="108">
        <f>'Income Statement'!T41</f>
        <v>4999.6095000000005</v>
      </c>
      <c r="U15" s="108">
        <f>'Income Statement'!U41</f>
        <v>4999.6095000000005</v>
      </c>
      <c r="V15" s="108">
        <f>'Income Statement'!V41</f>
        <v>4999.6095000000005</v>
      </c>
      <c r="W15" s="108">
        <f>'Income Statement'!W41</f>
        <v>4999.6095000000005</v>
      </c>
      <c r="X15" s="108">
        <f>'Income Statement'!X41</f>
        <v>4999.6095000000005</v>
      </c>
      <c r="Y15" s="108">
        <f>'Income Statement'!Y41</f>
        <v>4999.6095000000005</v>
      </c>
      <c r="Z15" s="104"/>
      <c r="AA15" s="104"/>
      <c r="AB15" s="104"/>
      <c r="AC15" s="104"/>
      <c r="AD15" s="104"/>
      <c r="AE15" s="104"/>
      <c r="AF15" s="104"/>
      <c r="AG15" s="104"/>
      <c r="AH15" s="104"/>
      <c r="AI15" s="104"/>
      <c r="AJ15" s="104"/>
      <c r="AK15" s="104"/>
      <c r="AL15" s="104"/>
      <c r="AM15" s="104"/>
      <c r="AN15" s="104"/>
      <c r="AO15" s="104"/>
      <c r="AP15" s="104"/>
      <c r="AQ15" s="104"/>
      <c r="AR15" s="104"/>
      <c r="AS15" s="104"/>
      <c r="AT15" s="104"/>
    </row>
    <row r="16" spans="1:46" ht="15">
      <c r="A16" s="104"/>
      <c r="B16" s="104"/>
      <c r="C16" s="108"/>
      <c r="D16" s="108"/>
      <c r="E16" s="108"/>
      <c r="F16" s="108"/>
      <c r="G16" s="108"/>
      <c r="H16" s="108"/>
      <c r="I16" s="108"/>
      <c r="J16" s="108"/>
      <c r="K16" s="108"/>
      <c r="L16" s="108"/>
      <c r="M16" s="104"/>
      <c r="N16" s="104"/>
      <c r="O16" s="108"/>
      <c r="P16" s="108"/>
      <c r="Q16" s="108"/>
      <c r="R16" s="108"/>
      <c r="S16" s="108"/>
      <c r="T16" s="108"/>
      <c r="U16" s="108"/>
      <c r="V16" s="108"/>
      <c r="W16" s="108"/>
      <c r="X16" s="108"/>
      <c r="Y16" s="108"/>
      <c r="Z16" s="104"/>
      <c r="AA16" s="104"/>
      <c r="AB16" s="104"/>
      <c r="AC16" s="104"/>
      <c r="AD16" s="104"/>
      <c r="AE16" s="104"/>
      <c r="AF16" s="104"/>
      <c r="AG16" s="104"/>
      <c r="AH16" s="104"/>
      <c r="AI16" s="104"/>
      <c r="AJ16" s="104"/>
      <c r="AK16" s="104"/>
      <c r="AL16" s="104"/>
      <c r="AM16" s="104"/>
      <c r="AN16" s="104"/>
      <c r="AO16" s="104"/>
      <c r="AP16" s="104"/>
      <c r="AQ16" s="104"/>
      <c r="AR16" s="104"/>
      <c r="AS16" s="104"/>
      <c r="AT16" s="104"/>
    </row>
    <row r="17" spans="1:46" s="20" customFormat="1" ht="15.75">
      <c r="A17" s="169" t="s">
        <v>373</v>
      </c>
      <c r="B17" s="169"/>
      <c r="C17" s="113">
        <f>SUM(C11:C16)</f>
        <v>99000</v>
      </c>
      <c r="D17" s="113">
        <f aca="true" t="shared" si="1" ref="D17:Y17">SUM(D11:D16)</f>
        <v>17428.6605</v>
      </c>
      <c r="E17" s="113">
        <f t="shared" si="1"/>
        <v>17428.6605</v>
      </c>
      <c r="F17" s="113">
        <f t="shared" si="1"/>
        <v>119428.6605</v>
      </c>
      <c r="G17" s="113">
        <f t="shared" si="1"/>
        <v>17428.6605</v>
      </c>
      <c r="H17" s="113">
        <f t="shared" si="1"/>
        <v>4999.6095000000005</v>
      </c>
      <c r="I17" s="113">
        <f t="shared" si="1"/>
        <v>4999.6095000000005</v>
      </c>
      <c r="J17" s="113">
        <f t="shared" si="1"/>
        <v>4999.6095000000005</v>
      </c>
      <c r="K17" s="113">
        <f t="shared" si="1"/>
        <v>4999.6095000000005</v>
      </c>
      <c r="L17" s="113">
        <f t="shared" si="1"/>
        <v>4999.6095000000005</v>
      </c>
      <c r="M17" s="169" t="s">
        <v>373</v>
      </c>
      <c r="N17" s="169"/>
      <c r="O17" s="113">
        <f t="shared" si="1"/>
        <v>4999.6095000000005</v>
      </c>
      <c r="P17" s="113">
        <f t="shared" si="1"/>
        <v>4999.6095000000005</v>
      </c>
      <c r="Q17" s="113">
        <f t="shared" si="1"/>
        <v>4999.6095000000005</v>
      </c>
      <c r="R17" s="113">
        <f t="shared" si="1"/>
        <v>4999.6095000000005</v>
      </c>
      <c r="S17" s="113">
        <f t="shared" si="1"/>
        <v>4999.6095000000005</v>
      </c>
      <c r="T17" s="113">
        <f t="shared" si="1"/>
        <v>4999.6095000000005</v>
      </c>
      <c r="U17" s="113">
        <f t="shared" si="1"/>
        <v>4999.6095000000005</v>
      </c>
      <c r="V17" s="113">
        <f t="shared" si="1"/>
        <v>4999.6095000000005</v>
      </c>
      <c r="W17" s="113">
        <f t="shared" si="1"/>
        <v>4999.6095000000005</v>
      </c>
      <c r="X17" s="113">
        <f t="shared" si="1"/>
        <v>4999.6095000000005</v>
      </c>
      <c r="Y17" s="113">
        <f t="shared" si="1"/>
        <v>4999.6095000000005</v>
      </c>
      <c r="Z17" s="169"/>
      <c r="AA17" s="169"/>
      <c r="AB17" s="169"/>
      <c r="AC17" s="169"/>
      <c r="AD17" s="169"/>
      <c r="AE17" s="169"/>
      <c r="AF17" s="169"/>
      <c r="AG17" s="169"/>
      <c r="AH17" s="169"/>
      <c r="AI17" s="169"/>
      <c r="AJ17" s="169"/>
      <c r="AK17" s="169"/>
      <c r="AL17" s="169"/>
      <c r="AM17" s="169"/>
      <c r="AN17" s="169"/>
      <c r="AO17" s="169"/>
      <c r="AP17" s="169"/>
      <c r="AQ17" s="169"/>
      <c r="AR17" s="169"/>
      <c r="AS17" s="169"/>
      <c r="AT17" s="169"/>
    </row>
    <row r="18" spans="1:46" ht="15">
      <c r="A18" s="104"/>
      <c r="B18" s="104"/>
      <c r="C18" s="108"/>
      <c r="D18" s="108"/>
      <c r="E18" s="108"/>
      <c r="F18" s="108"/>
      <c r="G18" s="108"/>
      <c r="H18" s="108"/>
      <c r="I18" s="108"/>
      <c r="J18" s="108"/>
      <c r="K18" s="108"/>
      <c r="L18" s="108"/>
      <c r="M18" s="104"/>
      <c r="N18" s="104"/>
      <c r="O18" s="108"/>
      <c r="P18" s="108"/>
      <c r="Q18" s="108"/>
      <c r="R18" s="108"/>
      <c r="S18" s="108"/>
      <c r="T18" s="108"/>
      <c r="U18" s="108"/>
      <c r="V18" s="108"/>
      <c r="W18" s="108"/>
      <c r="X18" s="108"/>
      <c r="Y18" s="108"/>
      <c r="Z18" s="104"/>
      <c r="AA18" s="104"/>
      <c r="AB18" s="104"/>
      <c r="AC18" s="104"/>
      <c r="AD18" s="104"/>
      <c r="AE18" s="104"/>
      <c r="AF18" s="104"/>
      <c r="AG18" s="104"/>
      <c r="AH18" s="104"/>
      <c r="AI18" s="104"/>
      <c r="AJ18" s="104"/>
      <c r="AK18" s="104"/>
      <c r="AL18" s="104"/>
      <c r="AM18" s="104"/>
      <c r="AN18" s="104"/>
      <c r="AO18" s="104"/>
      <c r="AP18" s="104"/>
      <c r="AQ18" s="104"/>
      <c r="AR18" s="104"/>
      <c r="AS18" s="104"/>
      <c r="AT18" s="104"/>
    </row>
    <row r="19" spans="1:46" ht="15">
      <c r="A19" s="104"/>
      <c r="B19" s="104"/>
      <c r="C19" s="108"/>
      <c r="D19" s="108"/>
      <c r="E19" s="108"/>
      <c r="F19" s="108"/>
      <c r="G19" s="108"/>
      <c r="H19" s="108"/>
      <c r="I19" s="108"/>
      <c r="J19" s="108"/>
      <c r="K19" s="108"/>
      <c r="L19" s="108"/>
      <c r="M19" s="104"/>
      <c r="N19" s="104"/>
      <c r="O19" s="108"/>
      <c r="P19" s="108"/>
      <c r="Q19" s="108"/>
      <c r="R19" s="108"/>
      <c r="S19" s="108"/>
      <c r="T19" s="108"/>
      <c r="U19" s="108"/>
      <c r="V19" s="108"/>
      <c r="W19" s="108"/>
      <c r="X19" s="108"/>
      <c r="Y19" s="108"/>
      <c r="Z19" s="104"/>
      <c r="AA19" s="104"/>
      <c r="AB19" s="104"/>
      <c r="AC19" s="104"/>
      <c r="AD19" s="104"/>
      <c r="AE19" s="104"/>
      <c r="AF19" s="104"/>
      <c r="AG19" s="104"/>
      <c r="AH19" s="104"/>
      <c r="AI19" s="104"/>
      <c r="AJ19" s="104"/>
      <c r="AK19" s="104"/>
      <c r="AL19" s="104"/>
      <c r="AM19" s="104"/>
      <c r="AN19" s="104"/>
      <c r="AO19" s="104"/>
      <c r="AP19" s="104"/>
      <c r="AQ19" s="104"/>
      <c r="AR19" s="104"/>
      <c r="AS19" s="104"/>
      <c r="AT19" s="104"/>
    </row>
    <row r="20" spans="1:46" ht="15">
      <c r="A20" s="169" t="s">
        <v>374</v>
      </c>
      <c r="B20" s="104"/>
      <c r="C20" s="108">
        <v>0</v>
      </c>
      <c r="D20" s="108">
        <v>0</v>
      </c>
      <c r="E20" s="108">
        <v>0</v>
      </c>
      <c r="F20" s="108">
        <v>0</v>
      </c>
      <c r="G20" s="108">
        <f>'Income Statement'!G7</f>
        <v>2500</v>
      </c>
      <c r="H20" s="108">
        <f>'Income Statement'!H7</f>
        <v>9000</v>
      </c>
      <c r="I20" s="108">
        <f>'Income Statement'!I7</f>
        <v>22500</v>
      </c>
      <c r="J20" s="108">
        <f>'Income Statement'!J7</f>
        <v>41500</v>
      </c>
      <c r="K20" s="108">
        <f>'Income Statement'!K7</f>
        <v>62500</v>
      </c>
      <c r="L20" s="108">
        <f>'Income Statement'!L7</f>
        <v>84000</v>
      </c>
      <c r="M20" s="169" t="s">
        <v>374</v>
      </c>
      <c r="N20" s="104"/>
      <c r="O20" s="108">
        <f>'Income Statement'!M7</f>
        <v>98500</v>
      </c>
      <c r="P20" s="108">
        <f>'Income Statement'!N7</f>
        <v>107500</v>
      </c>
      <c r="Q20" s="108">
        <f>'Income Statement'!O7</f>
        <v>84000</v>
      </c>
      <c r="R20" s="108">
        <f>'Income Statement'!R7</f>
        <v>88500</v>
      </c>
      <c r="S20" s="108">
        <f>'Income Statement'!S7</f>
        <v>60500</v>
      </c>
      <c r="T20" s="108">
        <f>'Income Statement'!T7</f>
        <v>70500</v>
      </c>
      <c r="U20" s="108">
        <f>'Income Statement'!U7</f>
        <v>51500</v>
      </c>
      <c r="V20" s="108">
        <f>'Income Statement'!V7</f>
        <v>70500</v>
      </c>
      <c r="W20" s="108">
        <f>'Income Statement'!W7</f>
        <v>51500</v>
      </c>
      <c r="X20" s="108">
        <f>'Income Statement'!X7</f>
        <v>70500</v>
      </c>
      <c r="Y20" s="108">
        <f>'Income Statement'!Y7</f>
        <v>79500</v>
      </c>
      <c r="Z20" s="104"/>
      <c r="AA20" s="104"/>
      <c r="AB20" s="104"/>
      <c r="AC20" s="104"/>
      <c r="AD20" s="104"/>
      <c r="AE20" s="104"/>
      <c r="AF20" s="104"/>
      <c r="AG20" s="104"/>
      <c r="AH20" s="104"/>
      <c r="AI20" s="104"/>
      <c r="AJ20" s="104"/>
      <c r="AK20" s="104"/>
      <c r="AL20" s="104"/>
      <c r="AM20" s="104"/>
      <c r="AN20" s="104"/>
      <c r="AO20" s="104"/>
      <c r="AP20" s="104"/>
      <c r="AQ20" s="104"/>
      <c r="AR20" s="104"/>
      <c r="AS20" s="104"/>
      <c r="AT20" s="104"/>
    </row>
    <row r="21" spans="1:46" ht="15">
      <c r="A21" s="104"/>
      <c r="B21" s="104"/>
      <c r="C21" s="108"/>
      <c r="D21" s="108"/>
      <c r="E21" s="108"/>
      <c r="F21" s="108"/>
      <c r="G21" s="108"/>
      <c r="H21" s="108"/>
      <c r="I21" s="108"/>
      <c r="J21" s="108"/>
      <c r="K21" s="108"/>
      <c r="L21" s="108"/>
      <c r="M21" s="104"/>
      <c r="N21" s="104"/>
      <c r="O21" s="108"/>
      <c r="P21" s="108"/>
      <c r="Q21" s="108"/>
      <c r="R21" s="108"/>
      <c r="S21" s="108"/>
      <c r="T21" s="108"/>
      <c r="U21" s="108"/>
      <c r="V21" s="108"/>
      <c r="W21" s="108"/>
      <c r="X21" s="108"/>
      <c r="Y21" s="108"/>
      <c r="Z21" s="104"/>
      <c r="AA21" s="104"/>
      <c r="AB21" s="104"/>
      <c r="AC21" s="104"/>
      <c r="AD21" s="104"/>
      <c r="AE21" s="104"/>
      <c r="AF21" s="104"/>
      <c r="AG21" s="104"/>
      <c r="AH21" s="104"/>
      <c r="AI21" s="104"/>
      <c r="AJ21" s="104"/>
      <c r="AK21" s="104"/>
      <c r="AL21" s="104"/>
      <c r="AM21" s="104"/>
      <c r="AN21" s="104"/>
      <c r="AO21" s="104"/>
      <c r="AP21" s="104"/>
      <c r="AQ21" s="104"/>
      <c r="AR21" s="104"/>
      <c r="AS21" s="104"/>
      <c r="AT21" s="104"/>
    </row>
    <row r="22" spans="1:46" ht="15">
      <c r="A22" s="169" t="s">
        <v>375</v>
      </c>
      <c r="B22" s="104"/>
      <c r="C22" s="108">
        <f>C20-C17</f>
        <v>-99000</v>
      </c>
      <c r="D22" s="108">
        <f aca="true" t="shared" si="2" ref="D22:Y22">D20-D17</f>
        <v>-17428.6605</v>
      </c>
      <c r="E22" s="108">
        <f t="shared" si="2"/>
        <v>-17428.6605</v>
      </c>
      <c r="F22" s="108">
        <f t="shared" si="2"/>
        <v>-119428.6605</v>
      </c>
      <c r="G22" s="108">
        <f t="shared" si="2"/>
        <v>-14928.660500000002</v>
      </c>
      <c r="H22" s="108">
        <f t="shared" si="2"/>
        <v>4000.3904999999995</v>
      </c>
      <c r="I22" s="108">
        <f t="shared" si="2"/>
        <v>17500.3905</v>
      </c>
      <c r="J22" s="108">
        <f t="shared" si="2"/>
        <v>36500.3905</v>
      </c>
      <c r="K22" s="108">
        <f t="shared" si="2"/>
        <v>57500.3905</v>
      </c>
      <c r="L22" s="108">
        <f t="shared" si="2"/>
        <v>79000.3905</v>
      </c>
      <c r="M22" s="169" t="s">
        <v>375</v>
      </c>
      <c r="N22" s="104"/>
      <c r="O22" s="108">
        <f t="shared" si="2"/>
        <v>93500.3905</v>
      </c>
      <c r="P22" s="108">
        <f t="shared" si="2"/>
        <v>102500.3905</v>
      </c>
      <c r="Q22" s="108">
        <f t="shared" si="2"/>
        <v>79000.3905</v>
      </c>
      <c r="R22" s="108">
        <f t="shared" si="2"/>
        <v>83500.3905</v>
      </c>
      <c r="S22" s="108">
        <f t="shared" si="2"/>
        <v>55500.3905</v>
      </c>
      <c r="T22" s="108">
        <f t="shared" si="2"/>
        <v>65500.3905</v>
      </c>
      <c r="U22" s="108">
        <f t="shared" si="2"/>
        <v>46500.3905</v>
      </c>
      <c r="V22" s="108">
        <f t="shared" si="2"/>
        <v>65500.3905</v>
      </c>
      <c r="W22" s="108">
        <f t="shared" si="2"/>
        <v>46500.3905</v>
      </c>
      <c r="X22" s="108">
        <f t="shared" si="2"/>
        <v>65500.3905</v>
      </c>
      <c r="Y22" s="108">
        <f t="shared" si="2"/>
        <v>74500.3905</v>
      </c>
      <c r="Z22" s="104"/>
      <c r="AA22" s="104"/>
      <c r="AB22" s="104"/>
      <c r="AC22" s="104"/>
      <c r="AD22" s="104"/>
      <c r="AE22" s="104"/>
      <c r="AF22" s="104"/>
      <c r="AG22" s="104"/>
      <c r="AH22" s="104"/>
      <c r="AI22" s="104"/>
      <c r="AJ22" s="104"/>
      <c r="AK22" s="104"/>
      <c r="AL22" s="104"/>
      <c r="AM22" s="104"/>
      <c r="AN22" s="104"/>
      <c r="AO22" s="104"/>
      <c r="AP22" s="104"/>
      <c r="AQ22" s="104"/>
      <c r="AR22" s="104"/>
      <c r="AS22" s="104"/>
      <c r="AT22" s="104"/>
    </row>
    <row r="23" spans="1:46" ht="15">
      <c r="A23" s="169"/>
      <c r="B23" s="104"/>
      <c r="C23" s="108"/>
      <c r="D23" s="108"/>
      <c r="E23" s="108"/>
      <c r="F23" s="108"/>
      <c r="G23" s="108"/>
      <c r="H23" s="108"/>
      <c r="I23" s="108"/>
      <c r="J23" s="108"/>
      <c r="K23" s="108"/>
      <c r="L23" s="108"/>
      <c r="M23" s="169"/>
      <c r="N23" s="104"/>
      <c r="O23" s="108"/>
      <c r="P23" s="108"/>
      <c r="Q23" s="108"/>
      <c r="R23" s="108"/>
      <c r="S23" s="108"/>
      <c r="T23" s="108"/>
      <c r="U23" s="108"/>
      <c r="V23" s="108"/>
      <c r="W23" s="108"/>
      <c r="X23" s="108"/>
      <c r="Y23" s="108"/>
      <c r="Z23" s="104"/>
      <c r="AA23" s="104"/>
      <c r="AB23" s="104"/>
      <c r="AC23" s="104"/>
      <c r="AD23" s="104"/>
      <c r="AE23" s="104"/>
      <c r="AF23" s="104"/>
      <c r="AG23" s="104"/>
      <c r="AH23" s="104"/>
      <c r="AI23" s="104"/>
      <c r="AJ23" s="104"/>
      <c r="AK23" s="104"/>
      <c r="AL23" s="104"/>
      <c r="AM23" s="104"/>
      <c r="AN23" s="104"/>
      <c r="AO23" s="104"/>
      <c r="AP23" s="104"/>
      <c r="AQ23" s="104"/>
      <c r="AR23" s="104"/>
      <c r="AS23" s="104"/>
      <c r="AT23" s="104"/>
    </row>
    <row r="24" spans="1:46" ht="15">
      <c r="A24" s="169" t="s">
        <v>376</v>
      </c>
      <c r="B24" s="104"/>
      <c r="C24" s="110">
        <f>C22</f>
        <v>-99000</v>
      </c>
      <c r="D24" s="110">
        <f>C24+D22</f>
        <v>-116428.6605</v>
      </c>
      <c r="E24" s="110">
        <f aca="true" t="shared" si="3" ref="E24:Y24">D24+E22</f>
        <v>-133857.321</v>
      </c>
      <c r="F24" s="110">
        <f t="shared" si="3"/>
        <v>-253285.9815</v>
      </c>
      <c r="G24" s="110">
        <f t="shared" si="3"/>
        <v>-268214.642</v>
      </c>
      <c r="H24" s="110">
        <f t="shared" si="3"/>
        <v>-264214.2515</v>
      </c>
      <c r="I24" s="110">
        <f t="shared" si="3"/>
        <v>-246713.861</v>
      </c>
      <c r="J24" s="110">
        <f t="shared" si="3"/>
        <v>-210213.4705</v>
      </c>
      <c r="K24" s="110">
        <f t="shared" si="3"/>
        <v>-152713.08</v>
      </c>
      <c r="L24" s="110">
        <f t="shared" si="3"/>
        <v>-73712.6895</v>
      </c>
      <c r="M24" s="169" t="s">
        <v>376</v>
      </c>
      <c r="N24" s="104"/>
      <c r="O24" s="110">
        <f>L24+O22</f>
        <v>19787.701</v>
      </c>
      <c r="P24" s="110">
        <f t="shared" si="3"/>
        <v>122288.0915</v>
      </c>
      <c r="Q24" s="110">
        <f t="shared" si="3"/>
        <v>201288.482</v>
      </c>
      <c r="R24" s="110">
        <f t="shared" si="3"/>
        <v>284788.8725</v>
      </c>
      <c r="S24" s="110">
        <f t="shared" si="3"/>
        <v>340289.263</v>
      </c>
      <c r="T24" s="110">
        <f t="shared" si="3"/>
        <v>405789.65349999996</v>
      </c>
      <c r="U24" s="110">
        <f t="shared" si="3"/>
        <v>452290.04399999994</v>
      </c>
      <c r="V24" s="110">
        <f t="shared" si="3"/>
        <v>517790.4344999999</v>
      </c>
      <c r="W24" s="110">
        <f t="shared" si="3"/>
        <v>564290.825</v>
      </c>
      <c r="X24" s="110">
        <f t="shared" si="3"/>
        <v>629791.2154999999</v>
      </c>
      <c r="Y24" s="110">
        <f t="shared" si="3"/>
        <v>704291.6059999999</v>
      </c>
      <c r="Z24" s="104"/>
      <c r="AA24" s="104"/>
      <c r="AB24" s="104"/>
      <c r="AC24" s="104"/>
      <c r="AD24" s="104"/>
      <c r="AE24" s="104"/>
      <c r="AF24" s="104"/>
      <c r="AG24" s="104"/>
      <c r="AH24" s="104"/>
      <c r="AI24" s="104"/>
      <c r="AJ24" s="104"/>
      <c r="AK24" s="104"/>
      <c r="AL24" s="104"/>
      <c r="AM24" s="104"/>
      <c r="AN24" s="104"/>
      <c r="AO24" s="104"/>
      <c r="AP24" s="104"/>
      <c r="AQ24" s="104"/>
      <c r="AR24" s="104"/>
      <c r="AS24" s="104"/>
      <c r="AT24" s="104"/>
    </row>
    <row r="25" spans="1:46" ht="15">
      <c r="A25" s="169"/>
      <c r="B25" s="104"/>
      <c r="C25" s="108"/>
      <c r="D25" s="108"/>
      <c r="E25" s="108"/>
      <c r="F25" s="108"/>
      <c r="G25" s="108"/>
      <c r="H25" s="108"/>
      <c r="I25" s="108"/>
      <c r="J25" s="108"/>
      <c r="K25" s="108"/>
      <c r="L25" s="108"/>
      <c r="M25" s="169"/>
      <c r="N25" s="104"/>
      <c r="O25" s="108"/>
      <c r="P25" s="108"/>
      <c r="Q25" s="108"/>
      <c r="R25" s="108"/>
      <c r="S25" s="108"/>
      <c r="T25" s="108"/>
      <c r="U25" s="108"/>
      <c r="V25" s="108"/>
      <c r="W25" s="108"/>
      <c r="X25" s="108"/>
      <c r="Y25" s="108"/>
      <c r="Z25" s="104"/>
      <c r="AA25" s="104"/>
      <c r="AB25" s="104"/>
      <c r="AC25" s="104"/>
      <c r="AD25" s="104"/>
      <c r="AE25" s="104"/>
      <c r="AF25" s="104"/>
      <c r="AG25" s="104"/>
      <c r="AH25" s="104"/>
      <c r="AI25" s="104"/>
      <c r="AJ25" s="104"/>
      <c r="AK25" s="104"/>
      <c r="AL25" s="104"/>
      <c r="AM25" s="104"/>
      <c r="AN25" s="104"/>
      <c r="AO25" s="104"/>
      <c r="AP25" s="104"/>
      <c r="AQ25" s="104"/>
      <c r="AR25" s="104"/>
      <c r="AS25" s="104"/>
      <c r="AT25" s="104"/>
    </row>
    <row r="26" spans="1:46" ht="15">
      <c r="A26" s="169" t="s">
        <v>384</v>
      </c>
      <c r="B26" s="104"/>
      <c r="C26" s="108">
        <f>-C24</f>
        <v>99000</v>
      </c>
      <c r="D26" s="108">
        <f aca="true" t="shared" si="4" ref="D26:L26">-D24</f>
        <v>116428.6605</v>
      </c>
      <c r="E26" s="108">
        <f t="shared" si="4"/>
        <v>133857.321</v>
      </c>
      <c r="F26" s="108">
        <f t="shared" si="4"/>
        <v>253285.9815</v>
      </c>
      <c r="G26" s="108">
        <f t="shared" si="4"/>
        <v>268214.642</v>
      </c>
      <c r="H26" s="108">
        <f t="shared" si="4"/>
        <v>264214.2515</v>
      </c>
      <c r="I26" s="108">
        <f t="shared" si="4"/>
        <v>246713.861</v>
      </c>
      <c r="J26" s="108">
        <f t="shared" si="4"/>
        <v>210213.4705</v>
      </c>
      <c r="K26" s="108">
        <f t="shared" si="4"/>
        <v>152713.08</v>
      </c>
      <c r="L26" s="108">
        <f t="shared" si="4"/>
        <v>73712.6895</v>
      </c>
      <c r="M26" s="169" t="s">
        <v>385</v>
      </c>
      <c r="N26" s="104"/>
      <c r="O26" s="108">
        <v>0</v>
      </c>
      <c r="P26" s="108">
        <v>0</v>
      </c>
      <c r="Q26" s="108">
        <v>0</v>
      </c>
      <c r="R26" s="108">
        <v>0</v>
      </c>
      <c r="S26" s="108">
        <v>0</v>
      </c>
      <c r="T26" s="108">
        <v>0</v>
      </c>
      <c r="U26" s="108">
        <v>0</v>
      </c>
      <c r="V26" s="108">
        <v>0</v>
      </c>
      <c r="W26" s="108">
        <v>0</v>
      </c>
      <c r="X26" s="108">
        <v>0</v>
      </c>
      <c r="Y26" s="108">
        <v>0</v>
      </c>
      <c r="Z26" s="104"/>
      <c r="AA26" s="104"/>
      <c r="AB26" s="104"/>
      <c r="AC26" s="104"/>
      <c r="AD26" s="104"/>
      <c r="AE26" s="104"/>
      <c r="AF26" s="104"/>
      <c r="AG26" s="104"/>
      <c r="AH26" s="104"/>
      <c r="AI26" s="104"/>
      <c r="AJ26" s="104"/>
      <c r="AK26" s="104"/>
      <c r="AL26" s="104"/>
      <c r="AM26" s="104"/>
      <c r="AN26" s="104"/>
      <c r="AO26" s="104"/>
      <c r="AP26" s="104"/>
      <c r="AQ26" s="104"/>
      <c r="AR26" s="104"/>
      <c r="AS26" s="104"/>
      <c r="AT26" s="104"/>
    </row>
    <row r="27" spans="1:46" ht="15">
      <c r="A27" s="104"/>
      <c r="B27" s="104"/>
      <c r="C27" s="108"/>
      <c r="D27" s="108"/>
      <c r="E27" s="108"/>
      <c r="F27" s="108"/>
      <c r="G27" s="108"/>
      <c r="H27" s="108"/>
      <c r="I27" s="108"/>
      <c r="J27" s="108"/>
      <c r="K27" s="108"/>
      <c r="L27" s="108"/>
      <c r="M27" s="104"/>
      <c r="N27" s="104"/>
      <c r="O27" s="108"/>
      <c r="P27" s="108"/>
      <c r="Q27" s="108"/>
      <c r="R27" s="108"/>
      <c r="S27" s="108"/>
      <c r="T27" s="108"/>
      <c r="U27" s="108"/>
      <c r="V27" s="108"/>
      <c r="W27" s="108"/>
      <c r="X27" s="108"/>
      <c r="Y27" s="108"/>
      <c r="Z27" s="104"/>
      <c r="AA27" s="104"/>
      <c r="AB27" s="104"/>
      <c r="AC27" s="104"/>
      <c r="AD27" s="104"/>
      <c r="AE27" s="104"/>
      <c r="AF27" s="104"/>
      <c r="AG27" s="104"/>
      <c r="AH27" s="104"/>
      <c r="AI27" s="104"/>
      <c r="AJ27" s="104"/>
      <c r="AK27" s="104"/>
      <c r="AL27" s="104"/>
      <c r="AM27" s="104"/>
      <c r="AN27" s="104"/>
      <c r="AO27" s="104"/>
      <c r="AP27" s="104"/>
      <c r="AQ27" s="104"/>
      <c r="AR27" s="104"/>
      <c r="AS27" s="104"/>
      <c r="AT27" s="104"/>
    </row>
    <row r="28" spans="1:46" ht="15">
      <c r="A28" s="104"/>
      <c r="B28" s="104"/>
      <c r="C28" s="108"/>
      <c r="D28" s="108"/>
      <c r="E28" s="108"/>
      <c r="F28" s="108"/>
      <c r="G28" s="108"/>
      <c r="H28" s="108"/>
      <c r="I28" s="108"/>
      <c r="J28" s="108"/>
      <c r="K28" s="108"/>
      <c r="L28" s="108"/>
      <c r="M28" s="104"/>
      <c r="N28" s="104"/>
      <c r="O28" s="108"/>
      <c r="P28" s="108"/>
      <c r="Q28" s="108"/>
      <c r="R28" s="108"/>
      <c r="S28" s="108"/>
      <c r="T28" s="108"/>
      <c r="U28" s="108"/>
      <c r="V28" s="108"/>
      <c r="W28" s="108"/>
      <c r="X28" s="108"/>
      <c r="Y28" s="108"/>
      <c r="Z28" s="104"/>
      <c r="AA28" s="104"/>
      <c r="AB28" s="104"/>
      <c r="AC28" s="104"/>
      <c r="AD28" s="104"/>
      <c r="AE28" s="104"/>
      <c r="AF28" s="104"/>
      <c r="AG28" s="104"/>
      <c r="AH28" s="104"/>
      <c r="AI28" s="104"/>
      <c r="AJ28" s="104"/>
      <c r="AK28" s="104"/>
      <c r="AL28" s="104"/>
      <c r="AM28" s="104"/>
      <c r="AN28" s="104"/>
      <c r="AO28" s="104"/>
      <c r="AP28" s="104"/>
      <c r="AQ28" s="104"/>
      <c r="AR28" s="104"/>
      <c r="AS28" s="104"/>
      <c r="AT28" s="104"/>
    </row>
    <row r="29" spans="1:46" ht="15">
      <c r="A29" s="104"/>
      <c r="B29" s="104"/>
      <c r="C29" s="108"/>
      <c r="D29" s="108"/>
      <c r="E29" s="108"/>
      <c r="F29" s="108"/>
      <c r="G29" s="108"/>
      <c r="H29" s="108"/>
      <c r="I29" s="108"/>
      <c r="J29" s="108"/>
      <c r="K29" s="108"/>
      <c r="L29" s="108"/>
      <c r="M29" s="104"/>
      <c r="N29" s="104"/>
      <c r="O29" s="108"/>
      <c r="P29" s="108"/>
      <c r="Q29" s="108"/>
      <c r="R29" s="108"/>
      <c r="S29" s="108"/>
      <c r="T29" s="108"/>
      <c r="U29" s="108"/>
      <c r="V29" s="108"/>
      <c r="W29" s="108"/>
      <c r="X29" s="108"/>
      <c r="Y29" s="108"/>
      <c r="Z29" s="104"/>
      <c r="AA29" s="104"/>
      <c r="AB29" s="104"/>
      <c r="AC29" s="104"/>
      <c r="AD29" s="104"/>
      <c r="AE29" s="104"/>
      <c r="AF29" s="104"/>
      <c r="AG29" s="104"/>
      <c r="AH29" s="104"/>
      <c r="AI29" s="104"/>
      <c r="AJ29" s="104"/>
      <c r="AK29" s="104"/>
      <c r="AL29" s="104"/>
      <c r="AM29" s="104"/>
      <c r="AN29" s="104"/>
      <c r="AO29" s="104"/>
      <c r="AP29" s="104"/>
      <c r="AQ29" s="104"/>
      <c r="AR29" s="104"/>
      <c r="AS29" s="104"/>
      <c r="AT29" s="104"/>
    </row>
    <row r="30" spans="1:46" ht="15">
      <c r="A30" s="104"/>
      <c r="B30" s="104"/>
      <c r="C30" s="108"/>
      <c r="D30" s="108"/>
      <c r="E30" s="108"/>
      <c r="F30" s="108"/>
      <c r="G30" s="108"/>
      <c r="H30" s="108"/>
      <c r="I30" s="108"/>
      <c r="J30" s="108"/>
      <c r="K30" s="108"/>
      <c r="L30" s="108"/>
      <c r="M30" s="104"/>
      <c r="N30" s="104"/>
      <c r="O30" s="108"/>
      <c r="P30" s="108"/>
      <c r="Q30" s="108"/>
      <c r="R30" s="108"/>
      <c r="S30" s="108"/>
      <c r="T30" s="108"/>
      <c r="U30" s="108"/>
      <c r="V30" s="108"/>
      <c r="W30" s="108"/>
      <c r="X30" s="108"/>
      <c r="Y30" s="108"/>
      <c r="Z30" s="104"/>
      <c r="AA30" s="104"/>
      <c r="AB30" s="104"/>
      <c r="AC30" s="104"/>
      <c r="AD30" s="104"/>
      <c r="AE30" s="104"/>
      <c r="AF30" s="104"/>
      <c r="AG30" s="104"/>
      <c r="AH30" s="104"/>
      <c r="AI30" s="104"/>
      <c r="AJ30" s="104"/>
      <c r="AK30" s="104"/>
      <c r="AL30" s="104"/>
      <c r="AM30" s="104"/>
      <c r="AN30" s="104"/>
      <c r="AO30" s="104"/>
      <c r="AP30" s="104"/>
      <c r="AQ30" s="104"/>
      <c r="AR30" s="104"/>
      <c r="AS30" s="104"/>
      <c r="AT30" s="104"/>
    </row>
    <row r="31" spans="1:46" ht="15">
      <c r="A31" s="104"/>
      <c r="B31" s="104"/>
      <c r="C31" s="108"/>
      <c r="D31" s="108"/>
      <c r="E31" s="108"/>
      <c r="F31" s="108"/>
      <c r="G31" s="108"/>
      <c r="H31" s="108"/>
      <c r="I31" s="108"/>
      <c r="J31" s="108"/>
      <c r="K31" s="108"/>
      <c r="L31" s="108"/>
      <c r="M31" s="104"/>
      <c r="N31" s="104"/>
      <c r="O31" s="108"/>
      <c r="P31" s="108"/>
      <c r="Q31" s="108"/>
      <c r="R31" s="108"/>
      <c r="S31" s="108"/>
      <c r="T31" s="108"/>
      <c r="U31" s="108"/>
      <c r="V31" s="108"/>
      <c r="W31" s="108"/>
      <c r="X31" s="108"/>
      <c r="Y31" s="108"/>
      <c r="Z31" s="104"/>
      <c r="AA31" s="104"/>
      <c r="AB31" s="104"/>
      <c r="AC31" s="104"/>
      <c r="AD31" s="104"/>
      <c r="AE31" s="104"/>
      <c r="AF31" s="104"/>
      <c r="AG31" s="104"/>
      <c r="AH31" s="104"/>
      <c r="AI31" s="104"/>
      <c r="AJ31" s="104"/>
      <c r="AK31" s="104"/>
      <c r="AL31" s="104"/>
      <c r="AM31" s="104"/>
      <c r="AN31" s="104"/>
      <c r="AO31" s="104"/>
      <c r="AP31" s="104"/>
      <c r="AQ31" s="104"/>
      <c r="AR31" s="104"/>
      <c r="AS31" s="104"/>
      <c r="AT31" s="104"/>
    </row>
    <row r="32" spans="1:46" ht="15">
      <c r="A32" s="104"/>
      <c r="B32" s="104"/>
      <c r="C32" s="108"/>
      <c r="D32" s="108"/>
      <c r="E32" s="108"/>
      <c r="F32" s="108"/>
      <c r="G32" s="108"/>
      <c r="H32" s="108"/>
      <c r="I32" s="108"/>
      <c r="J32" s="108"/>
      <c r="K32" s="108"/>
      <c r="L32" s="108"/>
      <c r="M32" s="104"/>
      <c r="N32" s="104"/>
      <c r="O32" s="108"/>
      <c r="P32" s="108"/>
      <c r="Q32" s="108"/>
      <c r="R32" s="108"/>
      <c r="S32" s="108"/>
      <c r="T32" s="108"/>
      <c r="U32" s="108"/>
      <c r="V32" s="108"/>
      <c r="W32" s="108"/>
      <c r="X32" s="108"/>
      <c r="Y32" s="108"/>
      <c r="Z32" s="104"/>
      <c r="AA32" s="104"/>
      <c r="AB32" s="104"/>
      <c r="AC32" s="104"/>
      <c r="AD32" s="104"/>
      <c r="AE32" s="104"/>
      <c r="AF32" s="104"/>
      <c r="AG32" s="104"/>
      <c r="AH32" s="104"/>
      <c r="AI32" s="104"/>
      <c r="AJ32" s="104"/>
      <c r="AK32" s="104"/>
      <c r="AL32" s="104"/>
      <c r="AM32" s="104"/>
      <c r="AN32" s="104"/>
      <c r="AO32" s="104"/>
      <c r="AP32" s="104"/>
      <c r="AQ32" s="104"/>
      <c r="AR32" s="104"/>
      <c r="AS32" s="104"/>
      <c r="AT32" s="104"/>
    </row>
    <row r="33" spans="1:46" ht="15">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row>
    <row r="34" spans="1:46" ht="1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row>
    <row r="35" spans="1:46" ht="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row>
    <row r="36" spans="1:46" ht="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row>
    <row r="37" spans="1:46" ht="15">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row>
    <row r="38" spans="1:46" ht="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row>
    <row r="39" spans="1:46" ht="15">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row>
    <row r="40" spans="1:46" ht="15">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row>
    <row r="41" spans="1:46" ht="1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row>
    <row r="42" spans="1:46" ht="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row>
    <row r="43" spans="1:46" ht="1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row>
    <row r="44" spans="1:46" ht="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row>
    <row r="45" spans="1:46" ht="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row>
    <row r="46" spans="1:46" ht="1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row>
    <row r="47" spans="1:46" ht="1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row>
    <row r="48" spans="1:46" ht="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row>
    <row r="49" spans="1:46" ht="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row>
    <row r="50" spans="1:46" ht="1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row>
    <row r="51" spans="1:46" ht="1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row>
    <row r="52" spans="1:46" ht="1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row>
    <row r="53" spans="1:46" ht="1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row>
    <row r="54" spans="1:46" ht="1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row>
    <row r="55" spans="1:46" ht="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row>
    <row r="56" spans="1:46" ht="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row>
    <row r="57" spans="1:46" ht="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row>
    <row r="58" spans="1:46" ht="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row>
    <row r="59" spans="1:46" ht="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row>
    <row r="60" spans="1:46" ht="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row>
    <row r="61" spans="1:46" ht="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row>
    <row r="62" spans="1:46" ht="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row>
    <row r="63" spans="1:46" ht="1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row>
    <row r="64" spans="1:46" ht="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row>
    <row r="65" spans="1:46" ht="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row>
    <row r="66" spans="1:46" ht="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row>
    <row r="67" spans="1:46" ht="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row>
    <row r="68" spans="1:46" ht="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row>
    <row r="69" spans="1:46" ht="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row>
  </sheetData>
  <sheetProtection password="C6A6" sheet="1"/>
  <printOptions/>
  <pageMargins left="0.7480314960629921" right="0.7480314960629921" top="0.984251968503937" bottom="0.984251968503937" header="0.5118110236220472" footer="0.5118110236220472"/>
  <pageSetup firstPageNumber="20" useFirstPageNumber="1" fitToWidth="2" horizontalDpi="600" verticalDpi="600" orientation="landscape" scale="81" r:id="rId1"/>
  <headerFooter alignWithMargins="0">
    <oddHeader>&amp;L&amp;11Guidelines: Saskatoon Production Costs&amp;R&amp;11&amp;P</oddHeader>
    <oddFooter>&amp;R&amp;"Arial,Italic"&amp;11MAFRI, GO Team Branch and Crops Knowledge Centre</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saskatoon berry</dc:title>
  <dc:subject/>
  <dc:creator>Arnott, Roy (MAFRI)</dc:creator>
  <cp:keywords/>
  <dc:description/>
  <cp:lastModifiedBy>Roy Arnott</cp:lastModifiedBy>
  <cp:lastPrinted>2012-11-21T19:17:38Z</cp:lastPrinted>
  <dcterms:created xsi:type="dcterms:W3CDTF">1998-12-01T15:32:09Z</dcterms:created>
  <dcterms:modified xsi:type="dcterms:W3CDTF">2013-05-28T21:19:11Z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PublishingExpirationDa">
    <vt:lpwstr/>
  </property>
  <property fmtid="{D5CDD505-2E9C-101B-9397-08002B2CF9AE}" pid="5" name="TemplateU">
    <vt:lpwstr/>
  </property>
  <property fmtid="{D5CDD505-2E9C-101B-9397-08002B2CF9AE}" pid="6" name="xd_Prog">
    <vt:lpwstr/>
  </property>
  <property fmtid="{D5CDD505-2E9C-101B-9397-08002B2CF9AE}" pid="7" name="PublishingStart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