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03\Farm Management\1. Cost of Production\Ready to post to website\"/>
    </mc:Choice>
  </mc:AlternateContent>
  <xr:revisionPtr revIDLastSave="0" documentId="8_{C4AF7E54-C7C5-4586-9D52-5057B94994FB}" xr6:coauthVersionLast="47" xr6:coauthVersionMax="47" xr10:uidLastSave="{00000000-0000-0000-0000-000000000000}"/>
  <workbookProtection workbookAlgorithmName="SHA-512" workbookHashValue="p87rn1OlyOV98gGWUnTAzbZelXGAwtcXJvYgIBDiYosr4gWPKqTo5P1VeO4HozPZCLs6I+ZsL5gNjiG5oagBuQ==" workbookSaltValue="/LG31rvu6++jB7SrczTufw==" workbookSpinCount="100000" lockStructure="1"/>
  <bookViews>
    <workbookView xWindow="-108" yWindow="-108" windowWidth="23256" windowHeight="12576" xr2:uid="{00000000-000D-0000-FFFF-FFFF00000000}"/>
  </bookViews>
  <sheets>
    <sheet name="Crop Lease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E" localSheetId="0">#REF!</definedName>
    <definedName name="\E">#REF!</definedName>
    <definedName name="\F" localSheetId="0">#REF!</definedName>
    <definedName name="\F">#REF!</definedName>
    <definedName name="\H">#N/A</definedName>
    <definedName name="\I">#N/A</definedName>
    <definedName name="\K">#N/A</definedName>
    <definedName name="\L" localSheetId="0">#REF!</definedName>
    <definedName name="\L">#REF!</definedName>
    <definedName name="\N">#N/A</definedName>
    <definedName name="\O" localSheetId="0">#REF!</definedName>
    <definedName name="\O">#REF!</definedName>
    <definedName name="\P">#N/A</definedName>
    <definedName name="\R" localSheetId="0">#REF!</definedName>
    <definedName name="\R">#REF!</definedName>
    <definedName name="\S">#N/A</definedName>
    <definedName name="\T" localSheetId="0">#REF!</definedName>
    <definedName name="\T">#REF!</definedName>
    <definedName name="\U" localSheetId="0">#REF!</definedName>
    <definedName name="\U">#REF!</definedName>
    <definedName name="\W">#N/A</definedName>
    <definedName name="\X">#N/A</definedName>
    <definedName name="\Y" localSheetId="0">#REF!</definedName>
    <definedName name="\Y">#REF!</definedName>
    <definedName name="ALL">#N/A</definedName>
    <definedName name="_xlnm.Print_Area" localSheetId="0">'Crop Lease'!$A$1:$J$103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I35" i="1" s="1"/>
  <c r="J35" i="1" s="1"/>
  <c r="N49" i="1"/>
  <c r="H38" i="1" s="1"/>
  <c r="I38" i="1" s="1"/>
  <c r="J38" i="1" s="1"/>
  <c r="H89" i="1"/>
  <c r="F47" i="1"/>
  <c r="E47" i="1"/>
  <c r="D47" i="1"/>
  <c r="C47" i="1"/>
  <c r="F50" i="1"/>
  <c r="E50" i="1"/>
  <c r="D50" i="1"/>
  <c r="C50" i="1"/>
  <c r="H41" i="1"/>
  <c r="I41" i="1" s="1"/>
  <c r="J41" i="1" s="1"/>
  <c r="H37" i="1"/>
  <c r="I37" i="1" s="1"/>
  <c r="J37" i="1" s="1"/>
  <c r="H36" i="1"/>
  <c r="I36" i="1" s="1"/>
  <c r="J36" i="1" s="1"/>
  <c r="H30" i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25" i="1"/>
  <c r="I25" i="1" s="1"/>
  <c r="J25" i="1" s="1"/>
  <c r="H24" i="1"/>
  <c r="I24" i="1" s="1"/>
  <c r="J24" i="1" s="1"/>
  <c r="H23" i="1"/>
  <c r="I23" i="1" s="1"/>
  <c r="J23" i="1" s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F31" i="1"/>
  <c r="E31" i="1"/>
  <c r="D31" i="1"/>
  <c r="C31" i="1"/>
  <c r="J3" i="1"/>
  <c r="I65" i="1"/>
  <c r="H92" i="1" l="1"/>
  <c r="J50" i="1"/>
  <c r="H78" i="1" s="1"/>
  <c r="I30" i="1"/>
  <c r="J30" i="1" s="1"/>
  <c r="H79" i="1"/>
  <c r="H31" i="1"/>
  <c r="H32" i="1" s="1"/>
  <c r="J19" i="1"/>
  <c r="H39" i="1"/>
  <c r="H93" i="1" s="1"/>
  <c r="H94" i="1" s="1"/>
  <c r="I39" i="1"/>
  <c r="J89" i="1" l="1"/>
  <c r="I89" i="1" s="1"/>
  <c r="I90" i="1" s="1"/>
  <c r="H82" i="1"/>
  <c r="H84" i="1" s="1"/>
  <c r="H85" i="1" s="1"/>
  <c r="I78" i="1"/>
  <c r="J78" i="1" s="1"/>
  <c r="H90" i="1"/>
  <c r="J31" i="1"/>
  <c r="J32" i="1" s="1"/>
  <c r="J33" i="1" s="1"/>
  <c r="I31" i="1"/>
  <c r="I32" i="1" s="1"/>
  <c r="I33" i="1" s="1"/>
  <c r="I40" i="1" s="1"/>
  <c r="H33" i="1"/>
  <c r="H40" i="1" s="1"/>
  <c r="H42" i="1" s="1"/>
  <c r="J39" i="1"/>
  <c r="I93" i="1" l="1"/>
  <c r="J93" i="1" s="1"/>
  <c r="H83" i="1"/>
  <c r="I92" i="1"/>
  <c r="J92" i="1" s="1"/>
  <c r="I80" i="1"/>
  <c r="I82" i="1" s="1"/>
  <c r="I42" i="1"/>
  <c r="J40" i="1"/>
  <c r="J82" i="1" l="1"/>
  <c r="I84" i="1"/>
  <c r="J84" i="1" s="1"/>
  <c r="J42" i="1"/>
  <c r="H44" i="1" s="1"/>
  <c r="I44" i="1" l="1"/>
  <c r="I55" i="1" s="1"/>
  <c r="H55" i="1"/>
  <c r="H54" i="1"/>
  <c r="H63" i="1"/>
  <c r="I63" i="1" l="1"/>
  <c r="J63" i="1" s="1"/>
  <c r="J64" i="1" s="1"/>
  <c r="I54" i="1"/>
  <c r="H57" i="1"/>
  <c r="H58" i="1"/>
  <c r="H59" i="1" s="1"/>
  <c r="J55" i="1"/>
  <c r="I57" i="1"/>
  <c r="I58" i="1"/>
  <c r="J58" i="1" l="1"/>
  <c r="J57" i="1"/>
  <c r="I66" i="1"/>
  <c r="I67" i="1" s="1"/>
  <c r="H66" i="1"/>
  <c r="H67" i="1" s="1"/>
  <c r="H71" i="1" l="1"/>
  <c r="H72" i="1"/>
  <c r="H73" i="1" s="1"/>
  <c r="I72" i="1"/>
  <c r="J67" i="1"/>
  <c r="H69" i="1" s="1"/>
  <c r="I71" i="1"/>
  <c r="J72" i="1" l="1"/>
  <c r="I69" i="1"/>
  <c r="J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Arnott</author>
    <author>Berthelette, Crystal</author>
  </authors>
  <commentList>
    <comment ref="G18" authorId="0" shapeId="0" xr:uid="{00000000-0006-0000-0000-000001000000}">
      <text>
        <r>
          <rPr>
            <sz val="9"/>
            <color indexed="81"/>
            <rFont val="Tahoma"/>
            <family val="2"/>
          </rPr>
          <t>Enter the share of expenses that the landowner is willing to share in this column.</t>
        </r>
      </text>
    </comment>
    <comment ref="B27" authorId="1" shapeId="0" xr:uid="{DC6F7BB7-A9B6-4189-A377-511B4E0F8D13}">
      <text>
        <r>
          <rPr>
            <b/>
            <sz val="9"/>
            <color indexed="81"/>
            <rFont val="Tahoma"/>
            <family val="2"/>
          </rPr>
          <t>Berthelette, Crystal:</t>
        </r>
        <r>
          <rPr>
            <sz val="9"/>
            <color indexed="81"/>
            <rFont val="Tahoma"/>
            <family val="2"/>
          </rPr>
          <t xml:space="preserve">
Includes Hail Insurance</t>
        </r>
      </text>
    </comment>
  </commentList>
</comments>
</file>

<file path=xl/sharedStrings.xml><?xml version="1.0" encoding="utf-8"?>
<sst xmlns="http://schemas.openxmlformats.org/spreadsheetml/2006/main" count="111" uniqueCount="79">
  <si>
    <t>Owner</t>
  </si>
  <si>
    <t>Leasee</t>
  </si>
  <si>
    <t>Total Cost</t>
  </si>
  <si>
    <t>Subtotal Operating Costs</t>
  </si>
  <si>
    <t>Total Operating Costs</t>
  </si>
  <si>
    <t>Total Fixed Costs</t>
  </si>
  <si>
    <t>Total Operating and Fixed Costs</t>
  </si>
  <si>
    <t>Total Contributions</t>
  </si>
  <si>
    <t>Estimated Farmgate Revenue</t>
  </si>
  <si>
    <t>Estimated Farmgate</t>
  </si>
  <si>
    <t>Lease Calculation #1 - Share Split Method</t>
  </si>
  <si>
    <t>Share Split</t>
  </si>
  <si>
    <t>Share of Revenue</t>
  </si>
  <si>
    <t>Lease Calculation #2 - Flexible Share Calculation Method</t>
  </si>
  <si>
    <t>Contribution Share</t>
  </si>
  <si>
    <t>Remaining Revenue</t>
  </si>
  <si>
    <t>Distribution of Surplus Revenue</t>
  </si>
  <si>
    <t>Share of Surplus Revenue</t>
  </si>
  <si>
    <t>Total Revenue Earned</t>
  </si>
  <si>
    <t>Percent Share of Revenue (Total)</t>
  </si>
  <si>
    <t>Operating Interest Rate</t>
  </si>
  <si>
    <t>%</t>
  </si>
  <si>
    <t xml:space="preserve">Investment Rate  </t>
  </si>
  <si>
    <t xml:space="preserve">. . . . . . . . . . . . . . . . . . . . . . . . . . . . . . . . . . . . . . . . . . . . . . . . . . . . . . . . . . . </t>
  </si>
  <si>
    <t>Printed:</t>
  </si>
  <si>
    <r>
      <t xml:space="preserve">*** Enter changes to values in </t>
    </r>
    <r>
      <rPr>
        <b/>
        <sz val="10"/>
        <color indexed="12"/>
        <rFont val="Arial"/>
        <family val="2"/>
      </rPr>
      <t>BLUE</t>
    </r>
    <r>
      <rPr>
        <b/>
        <sz val="10"/>
        <color indexed="48"/>
        <rFont val="Arial"/>
        <family val="2"/>
      </rPr>
      <t xml:space="preserve"> </t>
    </r>
    <r>
      <rPr>
        <b/>
        <sz val="10"/>
        <rFont val="Arial"/>
        <family val="2"/>
      </rPr>
      <t>only</t>
    </r>
  </si>
  <si>
    <t>Gross Revenue  Per Acre</t>
  </si>
  <si>
    <t>Land Value</t>
  </si>
  <si>
    <t>/ ac</t>
  </si>
  <si>
    <t>Canola</t>
  </si>
  <si>
    <t>Yield per acre (bu or lb.)</t>
  </si>
  <si>
    <t>Price ( $ per unit)</t>
  </si>
  <si>
    <t>Land Investment Costs</t>
  </si>
  <si>
    <t>Seed &amp; Treatment</t>
  </si>
  <si>
    <t>Fertilizer</t>
  </si>
  <si>
    <t>Herbicide</t>
  </si>
  <si>
    <t>Fungicide</t>
  </si>
  <si>
    <t>Insecticide</t>
  </si>
  <si>
    <t>Fuel</t>
  </si>
  <si>
    <t>Machinery Operating</t>
  </si>
  <si>
    <t>Rental and Custom</t>
  </si>
  <si>
    <t>Crop Insurance</t>
  </si>
  <si>
    <t>Other Costs</t>
  </si>
  <si>
    <t>Land Taxes</t>
  </si>
  <si>
    <t>Drying Costs</t>
  </si>
  <si>
    <t xml:space="preserve">    Operating Interest</t>
  </si>
  <si>
    <t>Machinery Investment</t>
  </si>
  <si>
    <t>Machinery Depreciation</t>
  </si>
  <si>
    <t>Machinery Depreciation Rate</t>
  </si>
  <si>
    <t>Storage Costs</t>
  </si>
  <si>
    <t xml:space="preserve">Grain Storage </t>
  </si>
  <si>
    <t>Usage %</t>
  </si>
  <si>
    <t>Cost</t>
  </si>
  <si>
    <t xml:space="preserve">  Non-aeration bins</t>
  </si>
  <si>
    <t>/bu</t>
  </si>
  <si>
    <t xml:space="preserve">  Aeration bins</t>
  </si>
  <si>
    <t>Return to Assets (ROA) not incl. Capital Gains</t>
  </si>
  <si>
    <t>Wheat</t>
  </si>
  <si>
    <t>Landowner Share</t>
  </si>
  <si>
    <t>Soy-beans</t>
  </si>
  <si>
    <t xml:space="preserve">Contribution Share </t>
  </si>
  <si>
    <t>B.  Fixed Costs ($/Acre)</t>
  </si>
  <si>
    <t>C.  Labour ($/Acre)</t>
  </si>
  <si>
    <t>(enter crop)</t>
  </si>
  <si>
    <t>Share of Expenses (Leasee)</t>
  </si>
  <si>
    <t>Lease Calculation #4 - Cash Rent Calculation</t>
  </si>
  <si>
    <r>
      <t xml:space="preserve">A.  Operating Costs ($/Acre)  </t>
    </r>
    <r>
      <rPr>
        <sz val="9"/>
        <rFont val="Arial"/>
        <family val="2"/>
      </rPr>
      <t xml:space="preserve">            </t>
    </r>
    <r>
      <rPr>
        <sz val="8"/>
        <rFont val="Arial"/>
        <family val="2"/>
      </rPr>
      <t>(leave costs blank if crop is not included in rotation)</t>
    </r>
  </si>
  <si>
    <t>Lease Calculation #3 - Typical 1/3 Landowner Share Method</t>
  </si>
  <si>
    <t>Total ($/Ac)</t>
  </si>
  <si>
    <t>Marginal Return - Over Operating Costs (Gross Revenue minus cash costs)</t>
  </si>
  <si>
    <t>Calculated % Revenue Share (With no expenses, to equal 1/3 share amount)</t>
  </si>
  <si>
    <t>Share of Expenses (Owner - Fertilizer and Pesticides)</t>
  </si>
  <si>
    <t>Marginal Return - Over Total Costs (Gross Revenue minus all costs)</t>
  </si>
  <si>
    <t xml:space="preserve"> Average Gross Revenue Per Acre</t>
  </si>
  <si>
    <t>Cash Land Rental</t>
  </si>
  <si>
    <r>
      <rPr>
        <b/>
        <sz val="12"/>
        <rFont val="Arial"/>
        <family val="2"/>
      </rPr>
      <t xml:space="preserve">Note: </t>
    </r>
    <r>
      <rPr>
        <sz val="12"/>
        <rFont val="Arial"/>
        <family val="2"/>
      </rPr>
      <t xml:space="preserve">This budget is only a guide and is not intended as an in-depth study of the cost of production of this industry. Interpretation and use of this information is the responsibility of the user. </t>
    </r>
  </si>
  <si>
    <t>For more information on crop production costs, machinery costs and grain storage costs:</t>
  </si>
  <si>
    <t>CropShare Lease Calculator - 2025</t>
  </si>
  <si>
    <t>December,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</si>
</sst>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.00_);\(&quot;$&quot;#,##0.00\)"/>
    <numFmt numFmtId="165" formatCode="&quot;$&quot;#,##0_);\(&quot;$&quot;#,##0\)"/>
    <numFmt numFmtId="166" formatCode="&quot;$&quot;#,##0.00"/>
    <numFmt numFmtId="167" formatCode="&quot;$&quot;#,##0"/>
    <numFmt numFmtId="168" formatCode="&quot;$&quot;#,##0.00_);[Red]\(&quot;$&quot;#,##0.00\)"/>
    <numFmt numFmtId="169" formatCode="&quot;$&quot;#,##0_);[Red]\(&quot;$&quot;#,##0\)"/>
    <numFmt numFmtId="170" formatCode="0.0%"/>
    <numFmt numFmtId="171" formatCode="#,##0.0_);[Red]\(#,##0.0\)"/>
    <numFmt numFmtId="172" formatCode="_-&quot;£&quot;* #,##0_-;\-&quot;£&quot;* #,##0_-;_-&quot;£&quot;* &quot;-&quot;_-;_-@_-"/>
    <numFmt numFmtId="173" formatCode="_-&quot;£&quot;* #,##0.00_-;\-&quot;£&quot;* #,##0.00_-;_-&quot;£&quot;* &quot;-&quot;??_-;_-@_-"/>
    <numFmt numFmtId="174" formatCode="0.0"/>
  </numFmts>
  <fonts count="31" x14ac:knownFonts="1">
    <font>
      <sz val="12"/>
      <name val="Arial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0000FF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4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rgb="FFFF0000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6">
    <xf numFmtId="0" fontId="0" fillId="0" borderId="0">
      <alignment vertical="top"/>
    </xf>
    <xf numFmtId="169" fontId="3" fillId="0" borderId="0"/>
    <xf numFmtId="169" fontId="8" fillId="0" borderId="0">
      <protection locked="0"/>
    </xf>
    <xf numFmtId="168" fontId="3" fillId="0" borderId="0"/>
    <xf numFmtId="168" fontId="8" fillId="0" borderId="0">
      <protection locked="0"/>
    </xf>
    <xf numFmtId="38" fontId="3" fillId="0" borderId="0"/>
    <xf numFmtId="38" fontId="8" fillId="0" borderId="0">
      <protection locked="0"/>
    </xf>
    <xf numFmtId="171" fontId="3" fillId="0" borderId="0"/>
    <xf numFmtId="171" fontId="8" fillId="0" borderId="0">
      <protection locked="0"/>
    </xf>
    <xf numFmtId="40" fontId="3" fillId="0" borderId="0"/>
    <xf numFmtId="40" fontId="8" fillId="0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>
      <alignment vertical="top"/>
    </xf>
    <xf numFmtId="166" fontId="3" fillId="0" borderId="0">
      <alignment vertical="top"/>
    </xf>
    <xf numFmtId="38" fontId="7" fillId="2" borderId="1"/>
    <xf numFmtId="38" fontId="9" fillId="0" borderId="1">
      <protection locked="0"/>
    </xf>
    <xf numFmtId="171" fontId="7" fillId="3" borderId="1"/>
    <xf numFmtId="171" fontId="9" fillId="0" borderId="1">
      <protection locked="0"/>
    </xf>
    <xf numFmtId="40" fontId="7" fillId="3" borderId="1"/>
    <xf numFmtId="40" fontId="9" fillId="0" borderId="1">
      <protection locked="0"/>
    </xf>
    <xf numFmtId="10" fontId="3" fillId="0" borderId="0"/>
    <xf numFmtId="10" fontId="9" fillId="4" borderId="1">
      <protection locked="0"/>
    </xf>
    <xf numFmtId="0" fontId="7" fillId="5" borderId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</cellStyleXfs>
  <cellXfs count="153">
    <xf numFmtId="0" fontId="0" fillId="0" borderId="0" xfId="0">
      <alignment vertical="top"/>
    </xf>
    <xf numFmtId="3" fontId="1" fillId="0" borderId="0" xfId="0" applyNumberFormat="1" applyFont="1" applyAlignment="1"/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/>
    <xf numFmtId="3" fontId="3" fillId="0" borderId="0" xfId="0" applyNumberFormat="1" applyFont="1" applyAlignment="1"/>
    <xf numFmtId="3" fontId="17" fillId="6" borderId="0" xfId="0" applyNumberFormat="1" applyFont="1" applyFill="1" applyAlignment="1"/>
    <xf numFmtId="3" fontId="18" fillId="6" borderId="0" xfId="0" applyNumberFormat="1" applyFont="1" applyFill="1" applyAlignment="1"/>
    <xf numFmtId="164" fontId="2" fillId="0" borderId="0" xfId="0" applyNumberFormat="1" applyFont="1" applyAlignment="1"/>
    <xf numFmtId="0" fontId="0" fillId="0" borderId="0" xfId="0" applyAlignment="1"/>
    <xf numFmtId="0" fontId="3" fillId="0" borderId="0" xfId="13" applyFont="1" applyAlignment="1"/>
    <xf numFmtId="0" fontId="1" fillId="0" borderId="0" xfId="13" applyFont="1" applyAlignment="1"/>
    <xf numFmtId="14" fontId="10" fillId="0" borderId="0" xfId="0" applyNumberFormat="1" applyFont="1" applyAlignment="1">
      <alignment horizontal="right"/>
    </xf>
    <xf numFmtId="38" fontId="19" fillId="0" borderId="0" xfId="6" applyFont="1">
      <protection locked="0"/>
    </xf>
    <xf numFmtId="166" fontId="19" fillId="0" borderId="0" xfId="4" applyNumberFormat="1" applyFont="1">
      <protection locked="0"/>
    </xf>
    <xf numFmtId="3" fontId="0" fillId="0" borderId="0" xfId="0" applyNumberForma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>
      <alignment horizontal="right"/>
    </xf>
    <xf numFmtId="0" fontId="11" fillId="0" borderId="0" xfId="0" applyFont="1" applyAlignment="1"/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5" fillId="0" borderId="0" xfId="12" applyFont="1" applyAlignment="1">
      <alignment horizontal="right"/>
    </xf>
    <xf numFmtId="0" fontId="6" fillId="0" borderId="0" xfId="0" applyFont="1" applyAlignment="1"/>
    <xf numFmtId="0" fontId="7" fillId="0" borderId="0" xfId="13" applyAlignment="1"/>
    <xf numFmtId="166" fontId="2" fillId="0" borderId="2" xfId="3" applyNumberFormat="1" applyFont="1" applyBorder="1"/>
    <xf numFmtId="3" fontId="24" fillId="6" borderId="0" xfId="0" applyNumberFormat="1" applyFont="1" applyFill="1" applyAlignment="1"/>
    <xf numFmtId="169" fontId="18" fillId="6" borderId="0" xfId="1" applyFont="1" applyFill="1"/>
    <xf numFmtId="9" fontId="3" fillId="0" borderId="0" xfId="0" quotePrefix="1" applyNumberFormat="1" applyFont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19" fillId="0" borderId="4" xfId="0" applyFont="1" applyBorder="1" applyAlignment="1" applyProtection="1">
      <alignment horizontal="center" wrapText="1"/>
      <protection locked="0"/>
    </xf>
    <xf numFmtId="3" fontId="2" fillId="0" borderId="4" xfId="0" applyNumberFormat="1" applyFont="1" applyBorder="1" applyAlignment="1">
      <alignment horizontal="center" wrapText="1"/>
    </xf>
    <xf numFmtId="165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/>
    <xf numFmtId="3" fontId="1" fillId="0" borderId="6" xfId="0" applyNumberFormat="1" applyFont="1" applyBorder="1" applyAlignment="1"/>
    <xf numFmtId="16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6" fontId="2" fillId="0" borderId="7" xfId="9" applyNumberFormat="1" applyFont="1" applyBorder="1"/>
    <xf numFmtId="166" fontId="2" fillId="0" borderId="8" xfId="9" applyNumberFormat="1" applyFont="1" applyBorder="1"/>
    <xf numFmtId="166" fontId="3" fillId="0" borderId="7" xfId="5" applyNumberFormat="1" applyBorder="1"/>
    <xf numFmtId="166" fontId="3" fillId="0" borderId="8" xfId="5" applyNumberFormat="1" applyBorder="1"/>
    <xf numFmtId="166" fontId="3" fillId="0" borderId="9" xfId="5" applyNumberFormat="1" applyBorder="1"/>
    <xf numFmtId="3" fontId="1" fillId="0" borderId="10" xfId="0" applyNumberFormat="1" applyFont="1" applyBorder="1" applyAlignment="1"/>
    <xf numFmtId="0" fontId="3" fillId="0" borderId="11" xfId="0" applyFont="1" applyBorder="1" applyAlignment="1"/>
    <xf numFmtId="3" fontId="1" fillId="0" borderId="12" xfId="0" applyNumberFormat="1" applyFont="1" applyBorder="1" applyAlignment="1"/>
    <xf numFmtId="0" fontId="3" fillId="0" borderId="13" xfId="0" applyFont="1" applyBorder="1" applyAlignment="1"/>
    <xf numFmtId="3" fontId="1" fillId="0" borderId="14" xfId="0" applyNumberFormat="1" applyFont="1" applyBorder="1" applyAlignment="1"/>
    <xf numFmtId="3" fontId="3" fillId="0" borderId="15" xfId="0" applyNumberFormat="1" applyFont="1" applyBorder="1" applyAlignment="1">
      <alignment horizontal="left"/>
    </xf>
    <xf numFmtId="166" fontId="3" fillId="0" borderId="15" xfId="9" applyNumberFormat="1" applyBorder="1"/>
    <xf numFmtId="166" fontId="3" fillId="0" borderId="11" xfId="9" applyNumberFormat="1" applyBorder="1"/>
    <xf numFmtId="3" fontId="3" fillId="0" borderId="3" xfId="0" applyNumberFormat="1" applyFont="1" applyBorder="1" applyAlignment="1"/>
    <xf numFmtId="166" fontId="3" fillId="0" borderId="16" xfId="5" applyNumberFormat="1" applyBorder="1"/>
    <xf numFmtId="166" fontId="3" fillId="0" borderId="7" xfId="9" applyNumberFormat="1" applyBorder="1"/>
    <xf numFmtId="3" fontId="1" fillId="0" borderId="5" xfId="0" applyNumberFormat="1" applyFont="1" applyBorder="1" applyAlignment="1"/>
    <xf numFmtId="0" fontId="2" fillId="0" borderId="2" xfId="0" applyFont="1" applyBorder="1" applyAlignment="1"/>
    <xf numFmtId="166" fontId="2" fillId="0" borderId="2" xfId="1" applyNumberFormat="1" applyFont="1" applyBorder="1"/>
    <xf numFmtId="166" fontId="2" fillId="0" borderId="6" xfId="1" applyNumberFormat="1" applyFont="1" applyBorder="1"/>
    <xf numFmtId="166" fontId="19" fillId="0" borderId="12" xfId="0" applyNumberFormat="1" applyFont="1" applyBorder="1" applyAlignment="1" applyProtection="1">
      <alignment horizontal="right"/>
      <protection locked="0"/>
    </xf>
    <xf numFmtId="166" fontId="19" fillId="0" borderId="10" xfId="0" applyNumberFormat="1" applyFont="1" applyBorder="1" applyAlignment="1" applyProtection="1">
      <alignment horizontal="right"/>
      <protection locked="0"/>
    </xf>
    <xf numFmtId="166" fontId="2" fillId="0" borderId="0" xfId="5" applyNumberFormat="1" applyFont="1"/>
    <xf numFmtId="166" fontId="2" fillId="0" borderId="0" xfId="9" applyNumberFormat="1" applyFont="1"/>
    <xf numFmtId="0" fontId="2" fillId="0" borderId="15" xfId="0" applyFont="1" applyBorder="1" applyAlignment="1"/>
    <xf numFmtId="0" fontId="2" fillId="0" borderId="12" xfId="0" applyFont="1" applyBorder="1" applyAlignment="1"/>
    <xf numFmtId="3" fontId="3" fillId="0" borderId="13" xfId="0" applyNumberFormat="1" applyFont="1" applyBorder="1" applyAlignment="1"/>
    <xf numFmtId="166" fontId="3" fillId="0" borderId="13" xfId="5" applyNumberFormat="1" applyBorder="1"/>
    <xf numFmtId="3" fontId="1" fillId="0" borderId="3" xfId="0" applyNumberFormat="1" applyFont="1" applyBorder="1" applyAlignment="1"/>
    <xf numFmtId="166" fontId="2" fillId="0" borderId="6" xfId="5" applyNumberFormat="1" applyFont="1" applyBorder="1"/>
    <xf numFmtId="166" fontId="2" fillId="0" borderId="3" xfId="9" applyNumberFormat="1" applyFont="1" applyBorder="1"/>
    <xf numFmtId="0" fontId="2" fillId="0" borderId="3" xfId="0" applyFont="1" applyBorder="1" applyAlignment="1"/>
    <xf numFmtId="0" fontId="2" fillId="0" borderId="10" xfId="0" applyFont="1" applyBorder="1" applyAlignment="1"/>
    <xf numFmtId="3" fontId="1" fillId="0" borderId="15" xfId="0" applyNumberFormat="1" applyFont="1" applyBorder="1" applyAlignment="1"/>
    <xf numFmtId="166" fontId="2" fillId="0" borderId="15" xfId="3" applyNumberFormat="1" applyFont="1" applyBorder="1"/>
    <xf numFmtId="166" fontId="2" fillId="0" borderId="15" xfId="1" applyNumberFormat="1" applyFont="1" applyBorder="1"/>
    <xf numFmtId="166" fontId="2" fillId="0" borderId="11" xfId="5" applyNumberFormat="1" applyFont="1" applyBorder="1"/>
    <xf numFmtId="166" fontId="3" fillId="0" borderId="11" xfId="5" applyNumberFormat="1" applyBorder="1"/>
    <xf numFmtId="0" fontId="2" fillId="0" borderId="0" xfId="0" applyFont="1" applyAlignment="1"/>
    <xf numFmtId="166" fontId="2" fillId="0" borderId="0" xfId="3" applyNumberFormat="1" applyFont="1"/>
    <xf numFmtId="166" fontId="2" fillId="0" borderId="13" xfId="5" applyNumberFormat="1" applyFont="1" applyBorder="1"/>
    <xf numFmtId="3" fontId="2" fillId="0" borderId="12" xfId="0" applyNumberFormat="1" applyFont="1" applyBorder="1" applyAlignment="1"/>
    <xf numFmtId="9" fontId="2" fillId="0" borderId="13" xfId="0" applyNumberFormat="1" applyFont="1" applyBorder="1" applyAlignment="1"/>
    <xf numFmtId="165" fontId="4" fillId="0" borderId="3" xfId="0" applyNumberFormat="1" applyFont="1" applyBorder="1" applyAlignment="1">
      <alignment horizontal="right"/>
    </xf>
    <xf numFmtId="3" fontId="19" fillId="0" borderId="16" xfId="0" applyNumberFormat="1" applyFont="1" applyBorder="1" applyAlignment="1"/>
    <xf numFmtId="3" fontId="3" fillId="0" borderId="5" xfId="0" applyNumberFormat="1" applyFont="1" applyBorder="1" applyAlignment="1"/>
    <xf numFmtId="164" fontId="4" fillId="0" borderId="2" xfId="0" applyNumberFormat="1" applyFont="1" applyBorder="1" applyAlignment="1">
      <alignment horizontal="right"/>
    </xf>
    <xf numFmtId="3" fontId="3" fillId="0" borderId="15" xfId="0" applyNumberFormat="1" applyFont="1" applyBorder="1" applyAlignment="1"/>
    <xf numFmtId="165" fontId="4" fillId="0" borderId="15" xfId="0" applyNumberFormat="1" applyFont="1" applyBorder="1" applyAlignment="1">
      <alignment horizontal="right"/>
    </xf>
    <xf numFmtId="166" fontId="2" fillId="0" borderId="11" xfId="4" applyNumberFormat="1" applyFont="1" applyBorder="1" applyProtection="1"/>
    <xf numFmtId="166" fontId="3" fillId="0" borderId="0" xfId="0" applyNumberFormat="1" applyFont="1" applyAlignment="1"/>
    <xf numFmtId="166" fontId="2" fillId="0" borderId="13" xfId="0" applyNumberFormat="1" applyFont="1" applyBorder="1" applyAlignment="1"/>
    <xf numFmtId="166" fontId="2" fillId="0" borderId="3" xfId="0" applyNumberFormat="1" applyFont="1" applyBorder="1" applyAlignment="1"/>
    <xf numFmtId="167" fontId="2" fillId="0" borderId="3" xfId="5" applyNumberFormat="1" applyFont="1" applyBorder="1"/>
    <xf numFmtId="3" fontId="3" fillId="0" borderId="16" xfId="0" applyNumberFormat="1" applyFont="1" applyBorder="1" applyAlignment="1"/>
    <xf numFmtId="0" fontId="2" fillId="0" borderId="16" xfId="0" applyFont="1" applyBorder="1" applyAlignment="1"/>
    <xf numFmtId="170" fontId="2" fillId="0" borderId="0" xfId="0" applyNumberFormat="1" applyFont="1" applyAlignment="1"/>
    <xf numFmtId="170" fontId="4" fillId="0" borderId="0" xfId="0" applyNumberFormat="1" applyFont="1" applyAlignment="1">
      <alignment horizontal="right"/>
    </xf>
    <xf numFmtId="4" fontId="3" fillId="0" borderId="0" xfId="0" applyNumberFormat="1" applyFont="1" applyAlignment="1"/>
    <xf numFmtId="166" fontId="2" fillId="0" borderId="0" xfId="0" applyNumberFormat="1" applyFont="1" applyAlignment="1"/>
    <xf numFmtId="3" fontId="18" fillId="6" borderId="10" xfId="0" applyNumberFormat="1" applyFont="1" applyFill="1" applyBorder="1" applyAlignment="1"/>
    <xf numFmtId="3" fontId="24" fillId="6" borderId="15" xfId="0" applyNumberFormat="1" applyFont="1" applyFill="1" applyBorder="1" applyAlignment="1"/>
    <xf numFmtId="3" fontId="17" fillId="6" borderId="15" xfId="0" applyNumberFormat="1" applyFont="1" applyFill="1" applyBorder="1" applyAlignment="1"/>
    <xf numFmtId="3" fontId="18" fillId="6" borderId="15" xfId="0" applyNumberFormat="1" applyFont="1" applyFill="1" applyBorder="1" applyAlignment="1"/>
    <xf numFmtId="169" fontId="18" fillId="6" borderId="15" xfId="1" applyFont="1" applyFill="1" applyBorder="1"/>
    <xf numFmtId="3" fontId="17" fillId="6" borderId="11" xfId="0" applyNumberFormat="1" applyFont="1" applyFill="1" applyBorder="1" applyAlignment="1"/>
    <xf numFmtId="165" fontId="4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/>
    <xf numFmtId="3" fontId="2" fillId="0" borderId="0" xfId="0" applyNumberFormat="1" applyFont="1" applyAlignment="1"/>
    <xf numFmtId="10" fontId="2" fillId="0" borderId="0" xfId="0" applyNumberFormat="1" applyFont="1" applyAlignment="1"/>
    <xf numFmtId="170" fontId="2" fillId="0" borderId="13" xfId="0" applyNumberFormat="1" applyFont="1" applyBorder="1" applyAlignment="1"/>
    <xf numFmtId="3" fontId="18" fillId="6" borderId="12" xfId="0" applyNumberFormat="1" applyFont="1" applyFill="1" applyBorder="1" applyAlignment="1"/>
    <xf numFmtId="3" fontId="17" fillId="6" borderId="13" xfId="0" applyNumberFormat="1" applyFont="1" applyFill="1" applyBorder="1" applyAlignment="1"/>
    <xf numFmtId="9" fontId="19" fillId="0" borderId="0" xfId="0" applyNumberFormat="1" applyFont="1" applyAlignment="1" applyProtection="1">
      <protection locked="0"/>
    </xf>
    <xf numFmtId="9" fontId="2" fillId="0" borderId="0" xfId="0" applyNumberFormat="1" applyFont="1" applyAlignment="1"/>
    <xf numFmtId="3" fontId="1" fillId="0" borderId="13" xfId="0" applyNumberFormat="1" applyFont="1" applyBorder="1" applyAlignment="1"/>
    <xf numFmtId="3" fontId="2" fillId="0" borderId="14" xfId="0" applyNumberFormat="1" applyFont="1" applyBorder="1" applyAlignment="1"/>
    <xf numFmtId="3" fontId="2" fillId="0" borderId="3" xfId="0" applyNumberFormat="1" applyFont="1" applyBorder="1" applyAlignment="1"/>
    <xf numFmtId="10" fontId="2" fillId="0" borderId="3" xfId="0" applyNumberFormat="1" applyFont="1" applyBorder="1" applyAlignment="1"/>
    <xf numFmtId="170" fontId="2" fillId="0" borderId="16" xfId="0" applyNumberFormat="1" applyFont="1" applyBorder="1" applyAlignment="1"/>
    <xf numFmtId="166" fontId="19" fillId="0" borderId="7" xfId="0" applyNumberFormat="1" applyFont="1" applyBorder="1" applyAlignment="1">
      <alignment horizontal="right"/>
    </xf>
    <xf numFmtId="1" fontId="19" fillId="0" borderId="9" xfId="0" applyNumberFormat="1" applyFont="1" applyBorder="1" applyAlignment="1">
      <alignment horizontal="right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9" fontId="19" fillId="7" borderId="17" xfId="0" applyNumberFormat="1" applyFont="1" applyFill="1" applyBorder="1" applyAlignment="1" applyProtection="1">
      <alignment horizontal="center" vertical="center"/>
      <protection locked="0"/>
    </xf>
    <xf numFmtId="9" fontId="19" fillId="7" borderId="17" xfId="0" applyNumberFormat="1" applyFont="1" applyFill="1" applyBorder="1" applyAlignment="1" applyProtection="1">
      <alignment vertical="center"/>
      <protection locked="0"/>
    </xf>
    <xf numFmtId="3" fontId="1" fillId="0" borderId="16" xfId="0" applyNumberFormat="1" applyFont="1" applyBorder="1" applyAlignment="1"/>
    <xf numFmtId="0" fontId="25" fillId="0" borderId="0" xfId="0" applyFont="1" applyAlignment="1">
      <alignment horizontal="left" vertical="center"/>
    </xf>
    <xf numFmtId="0" fontId="27" fillId="0" borderId="3" xfId="0" applyFont="1" applyBorder="1" applyAlignment="1"/>
    <xf numFmtId="0" fontId="0" fillId="0" borderId="3" xfId="0" applyBorder="1" applyAlignment="1"/>
    <xf numFmtId="0" fontId="27" fillId="0" borderId="3" xfId="0" applyFont="1" applyBorder="1" applyAlignment="1">
      <alignment horizontal="right"/>
    </xf>
    <xf numFmtId="174" fontId="0" fillId="0" borderId="0" xfId="0" applyNumberFormat="1" applyAlignment="1"/>
    <xf numFmtId="166" fontId="0" fillId="0" borderId="0" xfId="0" applyNumberFormat="1" applyAlignment="1"/>
    <xf numFmtId="1" fontId="0" fillId="0" borderId="3" xfId="0" applyNumberFormat="1" applyBorder="1" applyAlignment="1"/>
    <xf numFmtId="2" fontId="28" fillId="0" borderId="0" xfId="0" applyNumberFormat="1" applyFont="1" applyAlignment="1"/>
    <xf numFmtId="2" fontId="29" fillId="0" borderId="0" xfId="0" quotePrefix="1" applyNumberFormat="1" applyFont="1" applyAlignment="1">
      <alignment horizontal="right"/>
    </xf>
    <xf numFmtId="3" fontId="29" fillId="0" borderId="0" xfId="0" applyNumberFormat="1" applyFont="1" applyAlignment="1"/>
    <xf numFmtId="3" fontId="28" fillId="0" borderId="0" xfId="0" applyNumberFormat="1" applyFont="1" applyAlignment="1"/>
    <xf numFmtId="166" fontId="19" fillId="0" borderId="8" xfId="0" applyNumberFormat="1" applyFont="1" applyBorder="1" applyAlignment="1" applyProtection="1">
      <alignment horizontal="right"/>
      <protection locked="0"/>
    </xf>
    <xf numFmtId="167" fontId="19" fillId="0" borderId="0" xfId="4" applyNumberFormat="1" applyFont="1">
      <protection locked="0"/>
    </xf>
    <xf numFmtId="40" fontId="19" fillId="0" borderId="0" xfId="10" applyFont="1">
      <protection locked="0"/>
    </xf>
    <xf numFmtId="0" fontId="26" fillId="0" borderId="0" xfId="0" applyFont="1" applyAlignment="1"/>
    <xf numFmtId="3" fontId="2" fillId="0" borderId="0" xfId="0" applyNumberFormat="1" applyFont="1" applyAlignment="1">
      <alignment horizontal="center" wrapText="1"/>
    </xf>
    <xf numFmtId="166" fontId="19" fillId="0" borderId="7" xfId="0" applyNumberFormat="1" applyFont="1" applyBorder="1" applyAlignment="1" applyProtection="1">
      <alignment horizontal="right"/>
      <protection locked="0"/>
    </xf>
    <xf numFmtId="166" fontId="19" fillId="0" borderId="9" xfId="0" applyNumberFormat="1" applyFont="1" applyBorder="1" applyAlignment="1" applyProtection="1">
      <alignment horizontal="right"/>
      <protection locked="0"/>
    </xf>
    <xf numFmtId="1" fontId="19" fillId="0" borderId="14" xfId="0" applyNumberFormat="1" applyFont="1" applyBorder="1" applyAlignment="1" applyProtection="1">
      <alignment horizontal="right"/>
      <protection locked="0"/>
    </xf>
    <xf numFmtId="1" fontId="19" fillId="0" borderId="9" xfId="0" applyNumberFormat="1" applyFont="1" applyBorder="1" applyAlignment="1" applyProtection="1">
      <alignment horizontal="right"/>
      <protection locked="0"/>
    </xf>
    <xf numFmtId="9" fontId="8" fillId="0" borderId="0" xfId="0" applyNumberFormat="1" applyFont="1" applyAlignment="1" applyProtection="1">
      <alignment horizontal="right"/>
      <protection locked="0"/>
    </xf>
    <xf numFmtId="166" fontId="8" fillId="0" borderId="0" xfId="0" applyNumberFormat="1" applyFont="1" applyAlignment="1" applyProtection="1">
      <protection locked="0"/>
    </xf>
    <xf numFmtId="3" fontId="2" fillId="0" borderId="5" xfId="0" applyNumberFormat="1" applyFont="1" applyBorder="1" applyAlignment="1">
      <alignment horizontal="left" wrapText="1"/>
    </xf>
    <xf numFmtId="3" fontId="2" fillId="0" borderId="6" xfId="0" applyNumberFormat="1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166" fontId="3" fillId="0" borderId="0" xfId="14" applyAlignment="1">
      <alignment horizontal="left" vertical="top" wrapText="1"/>
    </xf>
  </cellXfs>
  <cellStyles count="26">
    <cellStyle name="Curr ($1,234) L Black" xfId="1" xr:uid="{00000000-0005-0000-0000-000000000000}"/>
    <cellStyle name="Curr ($1,234) U Blue" xfId="2" xr:uid="{00000000-0005-0000-0000-000001000000}"/>
    <cellStyle name="Curr ($1,234.00) L Black" xfId="3" xr:uid="{00000000-0005-0000-0000-000002000000}"/>
    <cellStyle name="Curr ($1,234.00) U Blue" xfId="4" xr:uid="{00000000-0005-0000-0000-000003000000}"/>
    <cellStyle name="Curr (1,234) L Black" xfId="5" xr:uid="{00000000-0005-0000-0000-000004000000}"/>
    <cellStyle name="Curr (1,234) U Blue" xfId="6" xr:uid="{00000000-0005-0000-0000-000005000000}"/>
    <cellStyle name="Curr (1,234.0) L Black" xfId="7" xr:uid="{00000000-0005-0000-0000-000006000000}"/>
    <cellStyle name="Curr (1,234.0) U Blue" xfId="8" xr:uid="{00000000-0005-0000-0000-000007000000}"/>
    <cellStyle name="Curr (1,234.00) L Black" xfId="9" xr:uid="{00000000-0005-0000-0000-000008000000}"/>
    <cellStyle name="Curr (1,234.00) U Blue" xfId="10" xr:uid="{00000000-0005-0000-0000-000009000000}"/>
    <cellStyle name="Hyperlink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Normal_Farrow-Wean 500" xfId="14" xr:uid="{00000000-0005-0000-0000-00000E000000}"/>
    <cellStyle name="Num (1,234) L Black" xfId="15" xr:uid="{00000000-0005-0000-0000-00000F000000}"/>
    <cellStyle name="Num (1,234) U Blue" xfId="16" xr:uid="{00000000-0005-0000-0000-000010000000}"/>
    <cellStyle name="Num (1,234.0) L Black" xfId="17" xr:uid="{00000000-0005-0000-0000-000011000000}"/>
    <cellStyle name="Num (1,234.0) U Blue" xfId="18" xr:uid="{00000000-0005-0000-0000-000012000000}"/>
    <cellStyle name="Num (1,234.10) L Black" xfId="19" xr:uid="{00000000-0005-0000-0000-000013000000}"/>
    <cellStyle name="Num (1,234.10) U Blue" xfId="20" xr:uid="{00000000-0005-0000-0000-000014000000}"/>
    <cellStyle name="Percent 00.00% L Black" xfId="21" xr:uid="{00000000-0005-0000-0000-000015000000}"/>
    <cellStyle name="Percent 00.00% U Blue" xfId="22" xr:uid="{00000000-0005-0000-0000-000016000000}"/>
    <cellStyle name="Standard_Anpassen der Amortisation" xfId="23" xr:uid="{00000000-0005-0000-0000-000017000000}"/>
    <cellStyle name="Währung [0]_Compiling Utility Macros" xfId="24" xr:uid="{00000000-0005-0000-0000-000018000000}"/>
    <cellStyle name="Währung_Compiling Utility Macros" xfId="25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gov.mb.ca/agriculture/farm-management/farm-business-management-contacts.html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png"/><Relationship Id="rId4" Type="http://schemas.openxmlformats.org/officeDocument/2006/relationships/hyperlink" Target="https://www.gov.mb.ca/agriculture/farm-management/cost-production/index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123825</xdr:rowOff>
    </xdr:from>
    <xdr:to>
      <xdr:col>9</xdr:col>
      <xdr:colOff>552450</xdr:colOff>
      <xdr:row>1</xdr:row>
      <xdr:rowOff>114300</xdr:rowOff>
    </xdr:to>
    <xdr:pic>
      <xdr:nvPicPr>
        <xdr:cNvPr id="1447" name="Picture 2" descr="Government of Manitoba logo.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23825"/>
          <a:ext cx="1685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2219325</xdr:colOff>
      <xdr:row>97</xdr:row>
      <xdr:rowOff>66675</xdr:rowOff>
    </xdr:from>
    <xdr:to>
      <xdr:col>7</xdr:col>
      <xdr:colOff>93345</xdr:colOff>
      <xdr:row>102</xdr:row>
      <xdr:rowOff>18974</xdr:rowOff>
    </xdr:to>
    <xdr:pic>
      <xdr:nvPicPr>
        <xdr:cNvPr id="9" name="Picture 8" descr="Contact Us information including a link to Farm Management Specialists listing.">
          <a:hlinkClick xmlns:r="http://schemas.openxmlformats.org/officeDocument/2006/relationships" r:id="rId2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18145125"/>
          <a:ext cx="4114800" cy="91622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11</xdr:row>
      <xdr:rowOff>50223</xdr:rowOff>
    </xdr:from>
    <xdr:to>
      <xdr:col>6</xdr:col>
      <xdr:colOff>381000</xdr:colOff>
      <xdr:row>15</xdr:row>
      <xdr:rowOff>60266</xdr:rowOff>
    </xdr:to>
    <xdr:pic>
      <xdr:nvPicPr>
        <xdr:cNvPr id="13" name="Picture 1" descr="QR code leading to all cost of production calculators.">
          <a:hlinkClick xmlns:r="http://schemas.openxmlformats.org/officeDocument/2006/relationships" r:id="rId4" tooltip="Click here for list of Cost of Production Guides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0" y="2326698"/>
          <a:ext cx="809625" cy="802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U104"/>
  <sheetViews>
    <sheetView showGridLines="0" tabSelected="1" zoomScaleNormal="100" workbookViewId="0">
      <selection activeCell="C6" sqref="C6"/>
    </sheetView>
  </sheetViews>
  <sheetFormatPr defaultColWidth="8.81640625" defaultRowHeight="15" customHeight="1" x14ac:dyDescent="0.3"/>
  <cols>
    <col min="1" max="1" width="1.81640625" style="1" customWidth="1"/>
    <col min="2" max="2" width="28.54296875" style="1" customWidth="1"/>
    <col min="3" max="6" width="8.26953125" style="1" customWidth="1"/>
    <col min="7" max="7" width="10.7265625" style="1" customWidth="1"/>
    <col min="8" max="9" width="8.26953125" style="1" customWidth="1"/>
    <col min="10" max="10" width="10.08984375" style="1" customWidth="1"/>
    <col min="11" max="13" width="8.81640625" style="1"/>
    <col min="14" max="14" width="8.81640625" style="1" hidden="1" customWidth="1"/>
    <col min="15" max="16384" width="8.81640625" style="1"/>
  </cols>
  <sheetData>
    <row r="1" spans="1:15" s="10" customFormat="1" ht="27" customHeight="1" x14ac:dyDescent="0.25">
      <c r="A1" s="17"/>
      <c r="B1" s="17"/>
      <c r="C1" s="17"/>
      <c r="D1" s="18"/>
      <c r="E1" s="18"/>
      <c r="F1" s="18"/>
      <c r="G1" s="18"/>
      <c r="H1" s="18"/>
    </row>
    <row r="2" spans="1:15" s="10" customFormat="1" ht="27.6" x14ac:dyDescent="0.45">
      <c r="A2" s="19" t="s">
        <v>23</v>
      </c>
      <c r="B2" s="17"/>
      <c r="C2" s="17"/>
      <c r="D2" s="18"/>
      <c r="E2" s="18"/>
      <c r="F2" s="18"/>
      <c r="G2" s="18"/>
      <c r="H2" s="18"/>
    </row>
    <row r="3" spans="1:15" s="10" customFormat="1" ht="17.399999999999999" x14ac:dyDescent="0.3">
      <c r="A3" s="20" t="s">
        <v>77</v>
      </c>
      <c r="B3" s="17"/>
      <c r="C3" s="17"/>
      <c r="D3" s="18"/>
      <c r="E3" s="18"/>
      <c r="F3" s="18"/>
      <c r="I3" s="21" t="s">
        <v>24</v>
      </c>
      <c r="J3" s="13">
        <f ca="1">TODAY()</f>
        <v>45659</v>
      </c>
    </row>
    <row r="4" spans="1:15" s="10" customFormat="1" x14ac:dyDescent="0.25">
      <c r="A4" s="26" t="s">
        <v>25</v>
      </c>
      <c r="B4" s="17"/>
      <c r="C4" s="17"/>
      <c r="D4" s="18"/>
      <c r="E4" s="18"/>
      <c r="F4" s="18"/>
      <c r="J4" s="21"/>
    </row>
    <row r="5" spans="1:15" ht="7.5" customHeight="1" x14ac:dyDescent="0.3"/>
    <row r="6" spans="1:15" s="16" customFormat="1" ht="15.75" customHeight="1" x14ac:dyDescent="0.3">
      <c r="A6" s="6" t="s">
        <v>27</v>
      </c>
      <c r="C6" s="138">
        <v>4500</v>
      </c>
      <c r="D6" s="6" t="s">
        <v>28</v>
      </c>
      <c r="F6" s="5" t="s">
        <v>50</v>
      </c>
      <c r="H6" s="25" t="s">
        <v>51</v>
      </c>
      <c r="I6" s="25" t="s">
        <v>52</v>
      </c>
      <c r="J6" s="23"/>
      <c r="K6" s="6"/>
      <c r="M6" s="14"/>
      <c r="O6" s="13"/>
    </row>
    <row r="7" spans="1:15" s="16" customFormat="1" ht="15.75" customHeight="1" x14ac:dyDescent="0.3">
      <c r="A7" s="6" t="s">
        <v>46</v>
      </c>
      <c r="C7" s="15">
        <v>650</v>
      </c>
      <c r="D7" s="6" t="s">
        <v>28</v>
      </c>
      <c r="F7" s="23" t="s">
        <v>53</v>
      </c>
      <c r="H7" s="146">
        <v>0.25</v>
      </c>
      <c r="I7" s="147">
        <v>3.5</v>
      </c>
      <c r="J7" s="23" t="s">
        <v>54</v>
      </c>
      <c r="K7" s="6"/>
      <c r="M7" s="14"/>
      <c r="N7" s="6"/>
      <c r="O7" s="13"/>
    </row>
    <row r="8" spans="1:15" s="16" customFormat="1" ht="15.75" customHeight="1" x14ac:dyDescent="0.3">
      <c r="A8" s="6" t="s">
        <v>48</v>
      </c>
      <c r="C8" s="139">
        <v>10</v>
      </c>
      <c r="D8" s="16" t="s">
        <v>21</v>
      </c>
      <c r="F8" s="23" t="s">
        <v>55</v>
      </c>
      <c r="H8" s="146">
        <v>0.75</v>
      </c>
      <c r="I8" s="147">
        <v>4.5</v>
      </c>
      <c r="J8" s="23" t="s">
        <v>54</v>
      </c>
      <c r="K8" s="6"/>
      <c r="M8" s="15"/>
      <c r="N8" s="6"/>
      <c r="O8" s="13"/>
    </row>
    <row r="9" spans="1:15" s="16" customFormat="1" ht="15.6" x14ac:dyDescent="0.3">
      <c r="A9" s="6" t="s">
        <v>20</v>
      </c>
      <c r="B9" s="11"/>
      <c r="C9" s="139">
        <v>7.5</v>
      </c>
      <c r="D9" s="16" t="s">
        <v>21</v>
      </c>
    </row>
    <row r="10" spans="1:15" s="16" customFormat="1" ht="15.6" x14ac:dyDescent="0.3">
      <c r="A10" s="6" t="s">
        <v>22</v>
      </c>
      <c r="B10" s="11"/>
      <c r="C10" s="139">
        <v>1.5</v>
      </c>
      <c r="D10" s="16" t="s">
        <v>21</v>
      </c>
      <c r="F10" s="6" t="s">
        <v>74</v>
      </c>
      <c r="H10" s="15">
        <v>100</v>
      </c>
      <c r="I10" s="6" t="s">
        <v>28</v>
      </c>
      <c r="K10" s="135"/>
    </row>
    <row r="11" spans="1:15" s="16" customFormat="1" ht="7.5" customHeight="1" x14ac:dyDescent="0.3">
      <c r="A11" s="6"/>
      <c r="B11" s="11"/>
      <c r="C11" s="139"/>
      <c r="F11" s="6"/>
      <c r="H11" s="15"/>
      <c r="I11" s="6"/>
    </row>
    <row r="12" spans="1:15" s="10" customFormat="1" ht="15.75" customHeight="1" x14ac:dyDescent="0.25">
      <c r="A12" s="126" t="s">
        <v>76</v>
      </c>
      <c r="C12" s="140"/>
      <c r="D12" s="140"/>
      <c r="J12" s="23"/>
    </row>
    <row r="13" spans="1:15" s="10" customFormat="1" ht="15.75" customHeight="1" x14ac:dyDescent="0.25">
      <c r="A13" s="126"/>
      <c r="C13" s="140"/>
      <c r="D13" s="140"/>
    </row>
    <row r="14" spans="1:15" s="10" customFormat="1" ht="15.75" customHeight="1" x14ac:dyDescent="0.25">
      <c r="A14" s="126"/>
      <c r="C14" s="140"/>
      <c r="D14" s="140"/>
    </row>
    <row r="15" spans="1:15" s="10" customFormat="1" ht="15.75" customHeight="1" x14ac:dyDescent="0.25">
      <c r="A15" s="126"/>
      <c r="C15" s="140"/>
      <c r="D15" s="140"/>
    </row>
    <row r="16" spans="1:15" s="10" customFormat="1" ht="7.5" customHeight="1" x14ac:dyDescent="0.25">
      <c r="A16" s="126"/>
      <c r="C16" s="140"/>
      <c r="D16" s="140"/>
    </row>
    <row r="17" spans="1:21" s="12" customFormat="1" ht="7.5" customHeight="1" x14ac:dyDescent="0.3">
      <c r="A17" s="11"/>
      <c r="B17" s="27"/>
      <c r="C17" s="14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33" customHeight="1" thickBot="1" x14ac:dyDescent="0.35">
      <c r="A18" s="148" t="s">
        <v>66</v>
      </c>
      <c r="B18" s="149"/>
      <c r="C18" s="33" t="s">
        <v>29</v>
      </c>
      <c r="D18" s="33" t="s">
        <v>57</v>
      </c>
      <c r="E18" s="33" t="s">
        <v>59</v>
      </c>
      <c r="F18" s="33" t="s">
        <v>63</v>
      </c>
      <c r="G18" s="122" t="s">
        <v>58</v>
      </c>
      <c r="H18" s="38" t="s">
        <v>0</v>
      </c>
      <c r="I18" s="39" t="s">
        <v>1</v>
      </c>
      <c r="J18" s="35" t="s">
        <v>2</v>
      </c>
      <c r="N18" s="4" t="s">
        <v>0</v>
      </c>
    </row>
    <row r="19" spans="1:21" ht="15" customHeight="1" thickBot="1" x14ac:dyDescent="0.35">
      <c r="A19" s="45"/>
      <c r="B19" s="46" t="s">
        <v>33</v>
      </c>
      <c r="C19" s="142">
        <v>82.5</v>
      </c>
      <c r="D19" s="142">
        <v>34</v>
      </c>
      <c r="E19" s="61">
        <v>90</v>
      </c>
      <c r="F19" s="61"/>
      <c r="G19" s="123">
        <v>0</v>
      </c>
      <c r="H19" s="40">
        <f t="shared" ref="H19:H30" si="0">AVERAGE(C19:F19)*G19</f>
        <v>0</v>
      </c>
      <c r="I19" s="40">
        <f t="shared" ref="I19:I30" si="1">AVERAGE(C19:F19)-H19</f>
        <v>68.833333333333329</v>
      </c>
      <c r="J19" s="42">
        <f t="shared" ref="J19:J30" si="2">SUM(I19+H19)</f>
        <v>68.833333333333329</v>
      </c>
      <c r="N19" s="24" t="s">
        <v>1</v>
      </c>
    </row>
    <row r="20" spans="1:21" ht="15" customHeight="1" thickBot="1" x14ac:dyDescent="0.35">
      <c r="A20" s="47"/>
      <c r="B20" s="48" t="s">
        <v>34</v>
      </c>
      <c r="C20" s="137">
        <v>128.36000000000001</v>
      </c>
      <c r="D20" s="137">
        <v>113.07</v>
      </c>
      <c r="E20" s="60">
        <v>44.01</v>
      </c>
      <c r="F20" s="60"/>
      <c r="G20" s="123">
        <v>0</v>
      </c>
      <c r="H20" s="41">
        <f t="shared" si="0"/>
        <v>0</v>
      </c>
      <c r="I20" s="41">
        <f t="shared" si="1"/>
        <v>95.146666666666661</v>
      </c>
      <c r="J20" s="43">
        <f t="shared" si="2"/>
        <v>95.146666666666661</v>
      </c>
      <c r="N20" s="31">
        <v>0</v>
      </c>
    </row>
    <row r="21" spans="1:21" ht="15" customHeight="1" thickBot="1" x14ac:dyDescent="0.35">
      <c r="A21" s="47"/>
      <c r="B21" s="48" t="s">
        <v>35</v>
      </c>
      <c r="C21" s="137">
        <v>30</v>
      </c>
      <c r="D21" s="137">
        <v>35.75</v>
      </c>
      <c r="E21" s="60">
        <v>21.75</v>
      </c>
      <c r="F21" s="60"/>
      <c r="G21" s="123">
        <v>0</v>
      </c>
      <c r="H21" s="41">
        <f t="shared" si="0"/>
        <v>0</v>
      </c>
      <c r="I21" s="41">
        <f t="shared" si="1"/>
        <v>29.166666666666668</v>
      </c>
      <c r="J21" s="43">
        <f t="shared" si="2"/>
        <v>29.166666666666668</v>
      </c>
      <c r="N21" s="31">
        <v>0.05</v>
      </c>
    </row>
    <row r="22" spans="1:21" ht="15" customHeight="1" thickBot="1" x14ac:dyDescent="0.35">
      <c r="A22" s="47"/>
      <c r="B22" s="48" t="s">
        <v>36</v>
      </c>
      <c r="C22" s="137">
        <v>22.75</v>
      </c>
      <c r="D22" s="137">
        <v>19.5</v>
      </c>
      <c r="E22" s="60">
        <v>0</v>
      </c>
      <c r="F22" s="60"/>
      <c r="G22" s="123">
        <v>0</v>
      </c>
      <c r="H22" s="41">
        <f t="shared" si="0"/>
        <v>0</v>
      </c>
      <c r="I22" s="41">
        <f t="shared" si="1"/>
        <v>14.083333333333334</v>
      </c>
      <c r="J22" s="43">
        <f t="shared" si="2"/>
        <v>14.083333333333334</v>
      </c>
      <c r="N22" s="31">
        <v>0.1</v>
      </c>
    </row>
    <row r="23" spans="1:21" ht="15" customHeight="1" thickBot="1" x14ac:dyDescent="0.35">
      <c r="A23" s="47"/>
      <c r="B23" s="48" t="s">
        <v>37</v>
      </c>
      <c r="C23" s="137">
        <v>5.75</v>
      </c>
      <c r="D23" s="137">
        <v>0</v>
      </c>
      <c r="E23" s="60">
        <v>0</v>
      </c>
      <c r="F23" s="60"/>
      <c r="G23" s="123">
        <v>0</v>
      </c>
      <c r="H23" s="41">
        <f t="shared" si="0"/>
        <v>0</v>
      </c>
      <c r="I23" s="41">
        <f t="shared" si="1"/>
        <v>1.9166666666666667</v>
      </c>
      <c r="J23" s="43">
        <f t="shared" si="2"/>
        <v>1.9166666666666667</v>
      </c>
      <c r="N23" s="31">
        <v>0.15</v>
      </c>
    </row>
    <row r="24" spans="1:21" ht="15" customHeight="1" thickBot="1" x14ac:dyDescent="0.35">
      <c r="A24" s="47"/>
      <c r="B24" s="48" t="s">
        <v>38</v>
      </c>
      <c r="C24" s="137">
        <v>29.8</v>
      </c>
      <c r="D24" s="137">
        <v>29.97</v>
      </c>
      <c r="E24" s="60">
        <v>25.97</v>
      </c>
      <c r="F24" s="60"/>
      <c r="G24" s="123">
        <v>0</v>
      </c>
      <c r="H24" s="41">
        <f t="shared" si="0"/>
        <v>0</v>
      </c>
      <c r="I24" s="41">
        <f t="shared" si="1"/>
        <v>28.58</v>
      </c>
      <c r="J24" s="43">
        <f t="shared" si="2"/>
        <v>28.58</v>
      </c>
      <c r="L24" s="133"/>
      <c r="M24" s="133"/>
      <c r="N24" s="134"/>
      <c r="O24" s="133"/>
    </row>
    <row r="25" spans="1:21" ht="15" customHeight="1" thickBot="1" x14ac:dyDescent="0.35">
      <c r="A25" s="47"/>
      <c r="B25" s="48" t="s">
        <v>39</v>
      </c>
      <c r="C25" s="137">
        <v>25</v>
      </c>
      <c r="D25" s="137">
        <v>25</v>
      </c>
      <c r="E25" s="60">
        <v>25</v>
      </c>
      <c r="F25" s="60"/>
      <c r="G25" s="123">
        <v>0</v>
      </c>
      <c r="H25" s="41">
        <f t="shared" si="0"/>
        <v>0</v>
      </c>
      <c r="I25" s="41">
        <f t="shared" si="1"/>
        <v>25</v>
      </c>
      <c r="J25" s="43">
        <f t="shared" si="2"/>
        <v>25</v>
      </c>
      <c r="N25" s="31">
        <v>0.25</v>
      </c>
    </row>
    <row r="26" spans="1:21" ht="15" customHeight="1" thickBot="1" x14ac:dyDescent="0.35">
      <c r="A26" s="47"/>
      <c r="B26" s="48" t="s">
        <v>40</v>
      </c>
      <c r="C26" s="137">
        <v>0</v>
      </c>
      <c r="D26" s="137">
        <v>0</v>
      </c>
      <c r="E26" s="60">
        <v>0</v>
      </c>
      <c r="F26" s="60"/>
      <c r="G26" s="123">
        <v>0</v>
      </c>
      <c r="H26" s="41">
        <f t="shared" si="0"/>
        <v>0</v>
      </c>
      <c r="I26" s="41">
        <f t="shared" si="1"/>
        <v>0</v>
      </c>
      <c r="J26" s="43">
        <f t="shared" si="2"/>
        <v>0</v>
      </c>
      <c r="N26" s="31"/>
    </row>
    <row r="27" spans="1:21" ht="15" customHeight="1" thickBot="1" x14ac:dyDescent="0.35">
      <c r="A27" s="47"/>
      <c r="B27" s="48" t="s">
        <v>41</v>
      </c>
      <c r="C27" s="137">
        <v>24.76</v>
      </c>
      <c r="D27" s="137">
        <v>21.07</v>
      </c>
      <c r="E27" s="60">
        <v>35.81</v>
      </c>
      <c r="F27" s="60"/>
      <c r="G27" s="123">
        <v>0</v>
      </c>
      <c r="H27" s="41">
        <f t="shared" si="0"/>
        <v>0</v>
      </c>
      <c r="I27" s="41">
        <f t="shared" si="1"/>
        <v>27.213333333333335</v>
      </c>
      <c r="J27" s="43">
        <f t="shared" si="2"/>
        <v>27.213333333333335</v>
      </c>
      <c r="L27" s="133"/>
      <c r="M27" s="133"/>
      <c r="N27" s="134"/>
      <c r="O27" s="133"/>
      <c r="P27" s="136"/>
      <c r="Q27" s="136"/>
    </row>
    <row r="28" spans="1:21" ht="15" customHeight="1" thickBot="1" x14ac:dyDescent="0.35">
      <c r="A28" s="47"/>
      <c r="B28" s="48" t="s">
        <v>42</v>
      </c>
      <c r="C28" s="137">
        <v>17.75</v>
      </c>
      <c r="D28" s="137">
        <v>17.75</v>
      </c>
      <c r="E28" s="60">
        <v>17.75</v>
      </c>
      <c r="F28" s="60"/>
      <c r="G28" s="123">
        <v>0</v>
      </c>
      <c r="H28" s="41">
        <f t="shared" si="0"/>
        <v>0</v>
      </c>
      <c r="I28" s="41">
        <f t="shared" si="1"/>
        <v>17.75</v>
      </c>
      <c r="J28" s="43">
        <f t="shared" si="2"/>
        <v>17.75</v>
      </c>
      <c r="N28" s="31">
        <v>0.4</v>
      </c>
    </row>
    <row r="29" spans="1:21" ht="15" customHeight="1" thickBot="1" x14ac:dyDescent="0.35">
      <c r="A29" s="47"/>
      <c r="B29" s="48" t="s">
        <v>44</v>
      </c>
      <c r="C29" s="137">
        <v>0</v>
      </c>
      <c r="D29" s="137">
        <v>0</v>
      </c>
      <c r="E29" s="60">
        <v>0</v>
      </c>
      <c r="F29" s="60"/>
      <c r="G29" s="123">
        <v>0</v>
      </c>
      <c r="H29" s="41">
        <f t="shared" si="0"/>
        <v>0</v>
      </c>
      <c r="I29" s="41">
        <f t="shared" si="1"/>
        <v>0</v>
      </c>
      <c r="J29" s="43">
        <f t="shared" si="2"/>
        <v>0</v>
      </c>
      <c r="N29" s="31">
        <v>0.5</v>
      </c>
    </row>
    <row r="30" spans="1:21" ht="15" customHeight="1" thickBot="1" x14ac:dyDescent="0.35">
      <c r="A30" s="47"/>
      <c r="B30" s="23" t="s">
        <v>43</v>
      </c>
      <c r="C30" s="143">
        <v>20</v>
      </c>
      <c r="D30" s="137">
        <v>20</v>
      </c>
      <c r="E30" s="60">
        <v>20</v>
      </c>
      <c r="F30" s="60"/>
      <c r="G30" s="123">
        <v>1</v>
      </c>
      <c r="H30" s="41">
        <f t="shared" si="0"/>
        <v>20</v>
      </c>
      <c r="I30" s="41">
        <f t="shared" si="1"/>
        <v>0</v>
      </c>
      <c r="J30" s="43">
        <f t="shared" si="2"/>
        <v>20</v>
      </c>
      <c r="N30" s="31">
        <v>0.55000000000000004</v>
      </c>
    </row>
    <row r="31" spans="1:21" ht="15" customHeight="1" x14ac:dyDescent="0.3">
      <c r="A31" s="45"/>
      <c r="B31" s="50" t="s">
        <v>3</v>
      </c>
      <c r="C31" s="51">
        <f>SUM(C19:C30)</f>
        <v>386.67</v>
      </c>
      <c r="D31" s="51">
        <f>SUM(D19:D30)</f>
        <v>316.10999999999996</v>
      </c>
      <c r="E31" s="51">
        <f>SUM(E19:E30)</f>
        <v>280.28999999999996</v>
      </c>
      <c r="F31" s="51">
        <f>SUM(F19:F30)</f>
        <v>0</v>
      </c>
      <c r="H31" s="55">
        <f>SUM(H19:H30)</f>
        <v>20</v>
      </c>
      <c r="I31" s="55">
        <f>SUM(I19:I30)</f>
        <v>307.68999999999994</v>
      </c>
      <c r="J31" s="52">
        <f>SUM(J19:J30)</f>
        <v>327.68999999999994</v>
      </c>
      <c r="N31" s="31">
        <v>0.6</v>
      </c>
    </row>
    <row r="32" spans="1:21" ht="15" customHeight="1" x14ac:dyDescent="0.3">
      <c r="A32" s="49"/>
      <c r="B32" s="53" t="s">
        <v>45</v>
      </c>
      <c r="C32" s="53"/>
      <c r="D32" s="53"/>
      <c r="E32" s="53"/>
      <c r="F32" s="53"/>
      <c r="G32" s="53"/>
      <c r="H32" s="44">
        <f>SUM(H31/2)*$C$9/100</f>
        <v>0.75</v>
      </c>
      <c r="I32" s="44">
        <f>SUM(I31/2)*$C$9/100</f>
        <v>11.538374999999998</v>
      </c>
      <c r="J32" s="54">
        <f>SUM(J31/2)*$C$9/100</f>
        <v>12.288374999999998</v>
      </c>
      <c r="N32" s="31">
        <v>0.65</v>
      </c>
    </row>
    <row r="33" spans="1:14" ht="15" customHeight="1" x14ac:dyDescent="0.3">
      <c r="A33" s="56"/>
      <c r="B33" s="57" t="s">
        <v>4</v>
      </c>
      <c r="C33" s="57"/>
      <c r="D33" s="57"/>
      <c r="E33" s="57"/>
      <c r="F33" s="57"/>
      <c r="G33" s="57"/>
      <c r="H33" s="58">
        <f>SUM(H31:H32)</f>
        <v>20.75</v>
      </c>
      <c r="I33" s="58">
        <f>SUM(I31:I32)</f>
        <v>319.22837499999991</v>
      </c>
      <c r="J33" s="59">
        <f>SUM(J31:J32)</f>
        <v>339.97837499999991</v>
      </c>
      <c r="N33" s="31">
        <v>0.67</v>
      </c>
    </row>
    <row r="34" spans="1:14" ht="15" customHeight="1" thickBot="1" x14ac:dyDescent="0.35">
      <c r="A34" s="65" t="s">
        <v>61</v>
      </c>
      <c r="D34" s="6"/>
      <c r="E34" s="6"/>
      <c r="F34" s="6"/>
      <c r="G34" s="6"/>
      <c r="H34" s="6"/>
      <c r="I34" s="6"/>
      <c r="J34" s="66"/>
      <c r="N34" s="31">
        <v>0.75</v>
      </c>
    </row>
    <row r="35" spans="1:14" ht="15" customHeight="1" thickBot="1" x14ac:dyDescent="0.35">
      <c r="A35" s="47"/>
      <c r="B35" s="6" t="s">
        <v>32</v>
      </c>
      <c r="D35" s="6"/>
      <c r="E35" s="6"/>
      <c r="F35" s="6"/>
      <c r="G35" s="123">
        <v>1</v>
      </c>
      <c r="H35" s="63">
        <f>C6*(C10/100)*G35*0.84</f>
        <v>56.699999999999996</v>
      </c>
      <c r="I35" s="62">
        <f>C6*(C10/100)-H35</f>
        <v>10.800000000000004</v>
      </c>
      <c r="J35" s="67">
        <f t="shared" ref="J35:J40" si="3">SUM(I35+H35)</f>
        <v>67.5</v>
      </c>
      <c r="N35" s="31">
        <v>0.8</v>
      </c>
    </row>
    <row r="36" spans="1:14" ht="15" customHeight="1" thickBot="1" x14ac:dyDescent="0.35">
      <c r="A36" s="47"/>
      <c r="B36" s="6" t="s">
        <v>47</v>
      </c>
      <c r="D36" s="6"/>
      <c r="E36" s="6"/>
      <c r="F36" s="6"/>
      <c r="G36" s="123">
        <v>0</v>
      </c>
      <c r="H36" s="63">
        <f>SUM(C7*C8/100)*G36</f>
        <v>0</v>
      </c>
      <c r="I36" s="63">
        <f>SUM(C7*C8/100)-H36</f>
        <v>65</v>
      </c>
      <c r="J36" s="67">
        <f t="shared" si="3"/>
        <v>65</v>
      </c>
      <c r="N36" s="31">
        <v>0.85</v>
      </c>
    </row>
    <row r="37" spans="1:14" ht="15" customHeight="1" thickBot="1" x14ac:dyDescent="0.35">
      <c r="A37" s="47"/>
      <c r="B37" s="6" t="s">
        <v>46</v>
      </c>
      <c r="D37" s="6"/>
      <c r="E37" s="6"/>
      <c r="F37" s="6"/>
      <c r="G37" s="123">
        <v>0</v>
      </c>
      <c r="H37" s="63">
        <f>SUM(C7*C10/100)*G37</f>
        <v>0</v>
      </c>
      <c r="I37" s="63">
        <f>SUM(C7*C10/100)-H37</f>
        <v>9.75</v>
      </c>
      <c r="J37" s="67">
        <f t="shared" si="3"/>
        <v>9.75</v>
      </c>
      <c r="N37" s="31">
        <v>0.9</v>
      </c>
    </row>
    <row r="38" spans="1:14" ht="15" customHeight="1" thickBot="1" x14ac:dyDescent="0.35">
      <c r="A38" s="49"/>
      <c r="B38" s="53" t="s">
        <v>49</v>
      </c>
      <c r="C38" s="68"/>
      <c r="D38" s="53"/>
      <c r="E38" s="53"/>
      <c r="F38" s="53"/>
      <c r="G38" s="123">
        <v>1</v>
      </c>
      <c r="H38" s="70">
        <f>IF((((((((I7*N49)-(I7*N49*(C8/100)))/20)+(((I7*N49)+(I7*N49*(C8/100)))/2)*(C10/100)))*H7)+((((((I8*N49)-(I8*N49*(C8/100)))/20)+(((I8*N49)+(I8*N49*(C8/100)))/2)*(C10/100)))*H8))*G38&lt;11.75,(((((((I7*N49)-(I7*N49*(C8/100)))/20)+(((I7*N49)+(I7*N49*(C8/100)))/2)*(C10/100)))*H7)+((((((I8*N49)-(I8*N49*(C8/100)))/20)+(((I8*N49)+(I8*N49*(C8/100)))/2)*(C10/100)))*H8))*G38,11.75*G38)</f>
        <v>11.315624999999999</v>
      </c>
      <c r="I38" s="70">
        <f>IF((((((((I7*N49)-(I7*N49*(C8/100)))/20)+(((I7*N49)+(I7*N49*(C8/100)))/2)*(C10/100)))*H7)+((((((I8*N49)-(I8*N49*(C8/100)))/20)+(((I8*N49)+(I8*N49*(C8/100)))/2)*(C10/100)))*H8))-H38&lt;11.75,(((((((I7*N49)-(I7*N49*(C8/100)))/20)+(((I7*N49)+(I7*N49*(C8/100)))/2)*(C10/100)))*H7)+((((((I8*N49)-(I8*N49*(C8/100)))/20)+(((I8*N49)+(I8*N49*(C8/100)))/2)*(C10/100)))*H8))-H38,11.75-H38)</f>
        <v>0</v>
      </c>
      <c r="J38" s="54">
        <f t="shared" si="3"/>
        <v>11.315624999999999</v>
      </c>
      <c r="N38" s="31">
        <v>0.95</v>
      </c>
    </row>
    <row r="39" spans="1:14" ht="15" customHeight="1" x14ac:dyDescent="0.3">
      <c r="A39" s="56"/>
      <c r="B39" s="57" t="s">
        <v>5</v>
      </c>
      <c r="C39" s="57"/>
      <c r="D39" s="57"/>
      <c r="E39" s="57"/>
      <c r="F39" s="57"/>
      <c r="G39" s="71"/>
      <c r="H39" s="28">
        <f>SUM(H35:H38)</f>
        <v>68.015625</v>
      </c>
      <c r="I39" s="28">
        <f>SUM(I35:I38)</f>
        <v>85.550000000000011</v>
      </c>
      <c r="J39" s="69">
        <f t="shared" si="3"/>
        <v>153.56562500000001</v>
      </c>
      <c r="N39" s="31">
        <v>1</v>
      </c>
    </row>
    <row r="40" spans="1:14" ht="15" customHeight="1" thickBot="1" x14ac:dyDescent="0.35">
      <c r="A40" s="72" t="s">
        <v>6</v>
      </c>
      <c r="B40" s="73"/>
      <c r="C40" s="64"/>
      <c r="D40" s="64"/>
      <c r="E40" s="64"/>
      <c r="F40" s="64"/>
      <c r="G40" s="64"/>
      <c r="H40" s="74">
        <f>H33+H39</f>
        <v>88.765625</v>
      </c>
      <c r="I40" s="75">
        <f>I33+I39</f>
        <v>404.77837499999993</v>
      </c>
      <c r="J40" s="76">
        <f t="shared" si="3"/>
        <v>493.54399999999993</v>
      </c>
    </row>
    <row r="41" spans="1:14" ht="15" customHeight="1" thickBot="1" x14ac:dyDescent="0.35">
      <c r="A41" s="72" t="s">
        <v>62</v>
      </c>
      <c r="B41" s="73"/>
      <c r="C41" s="142">
        <v>27</v>
      </c>
      <c r="D41" s="142">
        <v>27</v>
      </c>
      <c r="E41" s="142">
        <v>27</v>
      </c>
      <c r="F41" s="120"/>
      <c r="G41" s="124">
        <v>0</v>
      </c>
      <c r="H41" s="40">
        <f>AVERAGE(C41:F41)*G41</f>
        <v>0</v>
      </c>
      <c r="I41" s="40">
        <f>AVERAGE(C41:F41)-H41</f>
        <v>27</v>
      </c>
      <c r="J41" s="77">
        <f>SUM(I41+H41)</f>
        <v>27</v>
      </c>
      <c r="L41" s="136"/>
    </row>
    <row r="42" spans="1:14" ht="15" customHeight="1" x14ac:dyDescent="0.3">
      <c r="A42" s="72" t="s">
        <v>7</v>
      </c>
      <c r="B42" s="73"/>
      <c r="C42" s="73"/>
      <c r="D42" s="64"/>
      <c r="E42" s="64"/>
      <c r="F42" s="64"/>
      <c r="G42" s="78"/>
      <c r="H42" s="74">
        <f>H40+H41</f>
        <v>88.765625</v>
      </c>
      <c r="I42" s="74">
        <f>I40+J41</f>
        <v>431.77837499999993</v>
      </c>
      <c r="J42" s="76">
        <f>SUM(I42+H42)</f>
        <v>520.54399999999987</v>
      </c>
    </row>
    <row r="43" spans="1:14" ht="15" customHeight="1" x14ac:dyDescent="0.3">
      <c r="A43" s="65"/>
      <c r="D43" s="78"/>
      <c r="E43" s="78"/>
      <c r="F43" s="78"/>
      <c r="G43" s="78"/>
      <c r="H43" s="79"/>
      <c r="I43" s="79"/>
      <c r="J43" s="80"/>
    </row>
    <row r="44" spans="1:14" ht="15" customHeight="1" x14ac:dyDescent="0.3">
      <c r="A44" s="81" t="s">
        <v>60</v>
      </c>
      <c r="B44" s="6"/>
      <c r="C44" s="6"/>
      <c r="D44" s="6"/>
      <c r="E44" s="6"/>
      <c r="F44" s="6"/>
      <c r="G44" s="6"/>
      <c r="H44" s="97">
        <f>ROUND(H42/J42,3)</f>
        <v>0.17100000000000001</v>
      </c>
      <c r="I44" s="97">
        <f>ROUND(I42/J42,3)</f>
        <v>0.82899999999999996</v>
      </c>
      <c r="J44" s="82"/>
    </row>
    <row r="45" spans="1:14" ht="15" customHeight="1" x14ac:dyDescent="0.3">
      <c r="A45" s="49"/>
      <c r="B45" s="53"/>
      <c r="C45" s="53"/>
      <c r="D45" s="53"/>
      <c r="E45" s="53"/>
      <c r="F45" s="53"/>
      <c r="G45" s="53"/>
      <c r="H45" s="32"/>
      <c r="I45" s="83"/>
      <c r="J45" s="84"/>
    </row>
    <row r="46" spans="1:14" ht="15" customHeight="1" x14ac:dyDescent="0.3">
      <c r="A46" s="8" t="s">
        <v>8</v>
      </c>
      <c r="B46" s="29"/>
      <c r="C46" s="29"/>
      <c r="D46" s="7"/>
      <c r="E46" s="8"/>
      <c r="F46" s="8"/>
      <c r="G46" s="7"/>
      <c r="H46" s="29"/>
      <c r="I46" s="30"/>
      <c r="J46" s="7"/>
    </row>
    <row r="47" spans="1:14" ht="33" customHeight="1" x14ac:dyDescent="0.3">
      <c r="A47" s="36" t="s">
        <v>9</v>
      </c>
      <c r="B47" s="37"/>
      <c r="C47" s="34" t="str">
        <f>C18</f>
        <v>Canola</v>
      </c>
      <c r="D47" s="34" t="str">
        <f>D18</f>
        <v>Wheat</v>
      </c>
      <c r="E47" s="34" t="str">
        <f>E18</f>
        <v>Soy-beans</v>
      </c>
      <c r="F47" s="34" t="str">
        <f>F18</f>
        <v>(enter crop)</v>
      </c>
      <c r="G47" s="85"/>
      <c r="H47" s="86"/>
      <c r="I47" s="150" t="s">
        <v>73</v>
      </c>
      <c r="J47" s="151"/>
    </row>
    <row r="48" spans="1:14" ht="15" customHeight="1" x14ac:dyDescent="0.3">
      <c r="A48" s="45"/>
      <c r="B48" s="87" t="s">
        <v>31</v>
      </c>
      <c r="C48" s="61">
        <v>13.25</v>
      </c>
      <c r="D48" s="61">
        <v>8</v>
      </c>
      <c r="E48" s="142">
        <v>12</v>
      </c>
      <c r="F48" s="120"/>
      <c r="G48" s="87"/>
      <c r="H48" s="73"/>
      <c r="I48" s="88"/>
      <c r="J48" s="89"/>
    </row>
    <row r="49" spans="1:14" ht="15" customHeight="1" x14ac:dyDescent="0.3">
      <c r="A49" s="49"/>
      <c r="B49" s="53" t="s">
        <v>30</v>
      </c>
      <c r="C49" s="144">
        <v>45</v>
      </c>
      <c r="D49" s="144">
        <v>65</v>
      </c>
      <c r="E49" s="145">
        <v>40</v>
      </c>
      <c r="F49" s="121"/>
      <c r="G49" s="53"/>
      <c r="H49" s="68"/>
      <c r="I49" s="83"/>
      <c r="J49" s="125"/>
      <c r="N49" s="95">
        <f>SUM(C49:F49)/COUNTA(C49:F49)</f>
        <v>50</v>
      </c>
    </row>
    <row r="50" spans="1:14" ht="15" customHeight="1" x14ac:dyDescent="0.3">
      <c r="A50" s="47"/>
      <c r="B50" s="6" t="s">
        <v>26</v>
      </c>
      <c r="C50" s="90">
        <f>SUM(C48*C49)</f>
        <v>596.25</v>
      </c>
      <c r="D50" s="90">
        <f>SUM(D48*D49)</f>
        <v>520</v>
      </c>
      <c r="E50" s="90">
        <f>SUM(E48*E49)</f>
        <v>480</v>
      </c>
      <c r="F50" s="90">
        <f>SUM(F48*F49)</f>
        <v>0</v>
      </c>
      <c r="G50" s="6"/>
      <c r="J50" s="91">
        <f>ROUND((C50+D50+E50+F50)/COUNTA(C49:F49),2)</f>
        <v>532.08000000000004</v>
      </c>
    </row>
    <row r="51" spans="1:14" ht="8.1" customHeight="1" x14ac:dyDescent="0.3">
      <c r="A51" s="49"/>
      <c r="B51" s="53"/>
      <c r="C51" s="53"/>
      <c r="D51" s="53"/>
      <c r="E51" s="53"/>
      <c r="F51" s="53"/>
      <c r="G51" s="53"/>
      <c r="H51" s="92"/>
      <c r="I51" s="93"/>
      <c r="J51" s="94"/>
    </row>
    <row r="52" spans="1:14" ht="15" customHeight="1" x14ac:dyDescent="0.3">
      <c r="A52" s="100" t="s">
        <v>10</v>
      </c>
      <c r="B52" s="101"/>
      <c r="C52" s="101"/>
      <c r="D52" s="102"/>
      <c r="E52" s="103"/>
      <c r="F52" s="103"/>
      <c r="G52" s="102"/>
      <c r="H52" s="101"/>
      <c r="I52" s="104"/>
      <c r="J52" s="105"/>
    </row>
    <row r="53" spans="1:14" ht="15" customHeight="1" x14ac:dyDescent="0.3">
      <c r="A53" s="47"/>
      <c r="B53" s="6"/>
      <c r="C53" s="6"/>
      <c r="D53" s="6"/>
      <c r="E53" s="6"/>
      <c r="F53" s="6"/>
      <c r="G53" s="6"/>
      <c r="H53" s="2" t="s">
        <v>0</v>
      </c>
      <c r="I53" s="3" t="s">
        <v>1</v>
      </c>
      <c r="J53" s="106" t="s">
        <v>68</v>
      </c>
    </row>
    <row r="54" spans="1:14" ht="15" customHeight="1" x14ac:dyDescent="0.3">
      <c r="A54" s="81" t="s">
        <v>11</v>
      </c>
      <c r="B54" s="6"/>
      <c r="C54" s="6"/>
      <c r="D54" s="6"/>
      <c r="E54" s="6"/>
      <c r="F54" s="6"/>
      <c r="G54" s="6"/>
      <c r="H54" s="96">
        <f>H44</f>
        <v>0.17100000000000001</v>
      </c>
      <c r="I54" s="96">
        <f>I44</f>
        <v>0.82899999999999996</v>
      </c>
      <c r="J54" s="82"/>
    </row>
    <row r="55" spans="1:14" ht="15" customHeight="1" x14ac:dyDescent="0.3">
      <c r="A55" s="81" t="s">
        <v>12</v>
      </c>
      <c r="B55" s="6"/>
      <c r="C55" s="6"/>
      <c r="D55" s="6"/>
      <c r="E55" s="6"/>
      <c r="F55" s="6"/>
      <c r="G55" s="6"/>
      <c r="H55" s="99">
        <f>SUM(H44*J50)</f>
        <v>90.985680000000016</v>
      </c>
      <c r="I55" s="99">
        <f>SUM(I44*J50)</f>
        <v>441.09432000000004</v>
      </c>
      <c r="J55" s="91">
        <f>SUM(I55+H55)</f>
        <v>532.08000000000004</v>
      </c>
    </row>
    <row r="56" spans="1:14" ht="7.5" customHeight="1" x14ac:dyDescent="0.3">
      <c r="A56" s="81"/>
      <c r="B56" s="6"/>
      <c r="C56" s="6"/>
      <c r="D56" s="6"/>
      <c r="E56" s="6"/>
      <c r="F56" s="6"/>
      <c r="G56" s="6"/>
      <c r="H56" s="99"/>
      <c r="I56" s="99"/>
      <c r="J56" s="91"/>
    </row>
    <row r="57" spans="1:14" ht="15" customHeight="1" x14ac:dyDescent="0.3">
      <c r="A57" s="81" t="s">
        <v>69</v>
      </c>
      <c r="B57" s="6"/>
      <c r="C57" s="6"/>
      <c r="D57" s="6"/>
      <c r="E57" s="6"/>
      <c r="F57" s="6"/>
      <c r="G57" s="6"/>
      <c r="H57" s="9">
        <f>H55-H33</f>
        <v>70.235680000000016</v>
      </c>
      <c r="I57" s="9">
        <f>I55-I33</f>
        <v>121.86594500000012</v>
      </c>
      <c r="J57" s="107">
        <f>SUM(I57+H57)</f>
        <v>192.10162500000013</v>
      </c>
    </row>
    <row r="58" spans="1:14" ht="15" customHeight="1" x14ac:dyDescent="0.3">
      <c r="A58" s="81" t="s">
        <v>72</v>
      </c>
      <c r="B58" s="6"/>
      <c r="C58" s="6"/>
      <c r="D58" s="6"/>
      <c r="E58" s="6"/>
      <c r="F58" s="6"/>
      <c r="G58" s="6"/>
      <c r="H58" s="9">
        <f>SUM(H55-H42)</f>
        <v>2.2200550000000163</v>
      </c>
      <c r="I58" s="9">
        <f>SUM(I55-I42)</f>
        <v>9.3159450000001129</v>
      </c>
      <c r="J58" s="107">
        <f>SUM(I58+H58)</f>
        <v>11.536000000000129</v>
      </c>
    </row>
    <row r="59" spans="1:14" ht="15" customHeight="1" x14ac:dyDescent="0.3">
      <c r="A59" s="81" t="s">
        <v>56</v>
      </c>
      <c r="B59" s="108"/>
      <c r="C59" s="108"/>
      <c r="D59" s="6"/>
      <c r="E59" s="6"/>
      <c r="F59" s="6"/>
      <c r="G59" s="6"/>
      <c r="H59" s="109">
        <f>SUM(($H$35+H38+H58)/(C6))</f>
        <v>1.5607928888888893E-2</v>
      </c>
      <c r="J59" s="110"/>
    </row>
    <row r="60" spans="1:14" ht="8.1" customHeight="1" x14ac:dyDescent="0.3">
      <c r="A60" s="49"/>
      <c r="B60" s="53"/>
      <c r="C60" s="53"/>
      <c r="D60" s="53"/>
      <c r="E60" s="53"/>
      <c r="F60" s="53"/>
      <c r="G60" s="53"/>
      <c r="H60" s="68"/>
      <c r="I60" s="68"/>
      <c r="J60" s="94"/>
    </row>
    <row r="61" spans="1:14" ht="15" customHeight="1" x14ac:dyDescent="0.3">
      <c r="A61" s="111" t="s">
        <v>13</v>
      </c>
      <c r="B61" s="29"/>
      <c r="C61" s="29"/>
      <c r="D61" s="7"/>
      <c r="E61" s="8"/>
      <c r="F61" s="8"/>
      <c r="G61" s="7"/>
      <c r="H61" s="29"/>
      <c r="I61" s="30"/>
      <c r="J61" s="112"/>
    </row>
    <row r="62" spans="1:14" ht="15" customHeight="1" x14ac:dyDescent="0.3">
      <c r="A62" s="47"/>
      <c r="B62" s="6"/>
      <c r="C62" s="6"/>
      <c r="D62" s="6"/>
      <c r="E62" s="6"/>
      <c r="F62" s="6"/>
      <c r="G62" s="6"/>
      <c r="H62" s="2" t="s">
        <v>0</v>
      </c>
      <c r="I62" s="3" t="s">
        <v>1</v>
      </c>
      <c r="J62" s="106" t="s">
        <v>68</v>
      </c>
    </row>
    <row r="63" spans="1:14" ht="15" customHeight="1" x14ac:dyDescent="0.3">
      <c r="A63" s="81" t="s">
        <v>14</v>
      </c>
      <c r="B63" s="6"/>
      <c r="C63" s="6"/>
      <c r="D63" s="6"/>
      <c r="E63" s="6"/>
      <c r="F63" s="6"/>
      <c r="G63" s="6"/>
      <c r="H63" s="99">
        <f>IF(H42&lt;SUM(H44*J50),H42,SUM(H44*J50))</f>
        <v>88.765625</v>
      </c>
      <c r="I63" s="99">
        <f>IF(I42&lt;SUM(I44*J50),I42,SUM(I44*J50))</f>
        <v>431.77837499999993</v>
      </c>
      <c r="J63" s="91">
        <f>SUM(I63+H63)</f>
        <v>520.54399999999987</v>
      </c>
    </row>
    <row r="64" spans="1:14" ht="15" customHeight="1" x14ac:dyDescent="0.3">
      <c r="A64" s="81" t="s">
        <v>15</v>
      </c>
      <c r="B64" s="6"/>
      <c r="C64" s="6"/>
      <c r="D64" s="6"/>
      <c r="E64" s="6"/>
      <c r="F64" s="6"/>
      <c r="G64" s="6"/>
      <c r="H64" s="99"/>
      <c r="I64" s="99"/>
      <c r="J64" s="91">
        <f>IF(SUM(J50-J63)&lt;=0,0,SUM(J50-J63))</f>
        <v>11.536000000000172</v>
      </c>
    </row>
    <row r="65" spans="1:10" ht="15" customHeight="1" x14ac:dyDescent="0.3">
      <c r="A65" s="81" t="s">
        <v>16</v>
      </c>
      <c r="B65" s="6"/>
      <c r="C65" s="6"/>
      <c r="D65" s="6"/>
      <c r="E65" s="6"/>
      <c r="F65" s="6"/>
      <c r="G65" s="6"/>
      <c r="H65" s="113">
        <v>0.5</v>
      </c>
      <c r="I65" s="114">
        <f>SUM(1-H65)</f>
        <v>0.5</v>
      </c>
      <c r="J65" s="91"/>
    </row>
    <row r="66" spans="1:10" ht="15" customHeight="1" x14ac:dyDescent="0.3">
      <c r="A66" s="81" t="s">
        <v>17</v>
      </c>
      <c r="B66" s="6"/>
      <c r="C66" s="6"/>
      <c r="D66" s="6"/>
      <c r="E66" s="6"/>
      <c r="F66" s="6"/>
      <c r="G66" s="6"/>
      <c r="H66" s="99">
        <f>SUM(J64*H65)</f>
        <v>5.7680000000000859</v>
      </c>
      <c r="I66" s="99">
        <f>SUM(J64*I65)</f>
        <v>5.7680000000000859</v>
      </c>
      <c r="J66" s="91"/>
    </row>
    <row r="67" spans="1:10" ht="15" customHeight="1" x14ac:dyDescent="0.3">
      <c r="A67" s="81" t="s">
        <v>18</v>
      </c>
      <c r="B67" s="6"/>
      <c r="C67" s="6"/>
      <c r="D67" s="6"/>
      <c r="E67" s="6"/>
      <c r="F67" s="6"/>
      <c r="G67" s="6"/>
      <c r="H67" s="99">
        <f>SUM(H63+H66)</f>
        <v>94.533625000000086</v>
      </c>
      <c r="I67" s="99">
        <f>SUM(I63+I66)</f>
        <v>437.54637500000001</v>
      </c>
      <c r="J67" s="91">
        <f>SUM(I67+H67)</f>
        <v>532.08000000000015</v>
      </c>
    </row>
    <row r="68" spans="1:10" ht="7.5" customHeight="1" x14ac:dyDescent="0.3">
      <c r="A68" s="81"/>
      <c r="B68" s="6"/>
      <c r="C68" s="6"/>
      <c r="D68" s="6"/>
      <c r="E68" s="6"/>
      <c r="F68" s="6"/>
      <c r="G68" s="6"/>
      <c r="H68" s="99"/>
      <c r="I68" s="99"/>
      <c r="J68" s="91"/>
    </row>
    <row r="69" spans="1:10" ht="15" customHeight="1" x14ac:dyDescent="0.3">
      <c r="A69" s="81" t="s">
        <v>19</v>
      </c>
      <c r="B69" s="6"/>
      <c r="C69" s="6"/>
      <c r="D69" s="6"/>
      <c r="E69" s="6"/>
      <c r="F69" s="6"/>
      <c r="G69" s="6"/>
      <c r="H69" s="96">
        <f>SUM(H67/J67)</f>
        <v>0.17766806683205544</v>
      </c>
      <c r="I69" s="96">
        <f>SUM(I67/J67)</f>
        <v>0.82233193316794451</v>
      </c>
      <c r="J69" s="91"/>
    </row>
    <row r="70" spans="1:10" ht="7.5" customHeight="1" x14ac:dyDescent="0.3">
      <c r="A70" s="81"/>
      <c r="B70" s="6"/>
      <c r="C70" s="6"/>
      <c r="D70" s="6"/>
      <c r="E70" s="6"/>
      <c r="F70" s="6"/>
      <c r="G70" s="6"/>
      <c r="H70" s="96"/>
      <c r="I70" s="99"/>
      <c r="J70" s="91"/>
    </row>
    <row r="71" spans="1:10" ht="15" customHeight="1" x14ac:dyDescent="0.3">
      <c r="A71" s="81" t="s">
        <v>69</v>
      </c>
      <c r="B71" s="6"/>
      <c r="C71" s="6"/>
      <c r="D71" s="6"/>
      <c r="E71" s="6"/>
      <c r="F71" s="6"/>
      <c r="G71" s="6"/>
      <c r="H71" s="9">
        <f>SUM(H67-H33)</f>
        <v>73.783625000000086</v>
      </c>
      <c r="I71" s="9">
        <f>SUM(I67-I33)</f>
        <v>118.3180000000001</v>
      </c>
      <c r="J71" s="107">
        <f>SUM(I71+H71)</f>
        <v>192.10162500000018</v>
      </c>
    </row>
    <row r="72" spans="1:10" ht="15" customHeight="1" x14ac:dyDescent="0.3">
      <c r="A72" s="81" t="s">
        <v>72</v>
      </c>
      <c r="B72" s="6"/>
      <c r="C72" s="6"/>
      <c r="D72" s="6"/>
      <c r="E72" s="6"/>
      <c r="F72" s="6"/>
      <c r="G72" s="6"/>
      <c r="H72" s="9">
        <f>SUM(H67-H42)</f>
        <v>5.7680000000000859</v>
      </c>
      <c r="I72" s="9">
        <f>SUM(I67-I42)</f>
        <v>5.7680000000000859</v>
      </c>
      <c r="J72" s="107">
        <f>SUM(I72+H72)</f>
        <v>11.536000000000172</v>
      </c>
    </row>
    <row r="73" spans="1:10" ht="15" customHeight="1" x14ac:dyDescent="0.3">
      <c r="A73" s="81" t="s">
        <v>56</v>
      </c>
      <c r="B73" s="108"/>
      <c r="C73" s="108"/>
      <c r="D73" s="6"/>
      <c r="E73" s="6"/>
      <c r="F73" s="6"/>
      <c r="G73" s="6"/>
      <c r="H73" s="109">
        <f>SUM(($H$35+H38+H72)/(C6))</f>
        <v>1.6396361111111129E-2</v>
      </c>
      <c r="J73" s="110"/>
    </row>
    <row r="74" spans="1:10" ht="8.1" customHeight="1" x14ac:dyDescent="0.3">
      <c r="A74" s="47"/>
      <c r="J74" s="115"/>
    </row>
    <row r="75" spans="1:10" ht="15" customHeight="1" x14ac:dyDescent="0.3">
      <c r="A75" s="111" t="s">
        <v>67</v>
      </c>
      <c r="B75" s="29"/>
      <c r="C75" s="29"/>
      <c r="D75" s="7"/>
      <c r="E75" s="8"/>
      <c r="F75" s="8"/>
      <c r="G75" s="7"/>
      <c r="H75" s="29"/>
      <c r="I75" s="30"/>
      <c r="J75" s="112"/>
    </row>
    <row r="76" spans="1:10" ht="15" customHeight="1" x14ac:dyDescent="0.3">
      <c r="A76" s="47"/>
      <c r="B76" s="6"/>
      <c r="C76" s="6"/>
      <c r="D76" s="6"/>
      <c r="E76" s="6"/>
      <c r="F76" s="6"/>
      <c r="G76" s="6"/>
      <c r="H76" s="2" t="s">
        <v>0</v>
      </c>
      <c r="I76" s="3" t="s">
        <v>1</v>
      </c>
      <c r="J76" s="106" t="s">
        <v>68</v>
      </c>
    </row>
    <row r="77" spans="1:10" ht="15" customHeight="1" x14ac:dyDescent="0.3">
      <c r="A77" s="81" t="s">
        <v>11</v>
      </c>
      <c r="B77" s="6"/>
      <c r="C77" s="6"/>
      <c r="D77" s="6"/>
      <c r="E77" s="6"/>
      <c r="F77" s="6"/>
      <c r="G77" s="6"/>
      <c r="H77" s="114">
        <v>0.33</v>
      </c>
      <c r="I77" s="114">
        <v>0.67</v>
      </c>
      <c r="J77" s="82"/>
    </row>
    <row r="78" spans="1:10" ht="15" customHeight="1" x14ac:dyDescent="0.3">
      <c r="A78" s="81" t="s">
        <v>12</v>
      </c>
      <c r="B78" s="6"/>
      <c r="C78" s="6"/>
      <c r="D78" s="6"/>
      <c r="E78" s="6"/>
      <c r="F78" s="6"/>
      <c r="G78" s="6"/>
      <c r="H78" s="99">
        <f>SUM(H77*J50)</f>
        <v>175.58640000000003</v>
      </c>
      <c r="I78" s="99">
        <f>SUM(J50-H78)</f>
        <v>356.49360000000001</v>
      </c>
      <c r="J78" s="91">
        <f>SUM(I78+H78)</f>
        <v>532.08000000000004</v>
      </c>
    </row>
    <row r="79" spans="1:10" ht="15" customHeight="1" x14ac:dyDescent="0.3">
      <c r="A79" s="81" t="s">
        <v>71</v>
      </c>
      <c r="B79" s="6"/>
      <c r="C79" s="6"/>
      <c r="D79" s="6"/>
      <c r="E79" s="6"/>
      <c r="F79" s="6"/>
      <c r="G79" s="6"/>
      <c r="H79" s="99">
        <f>SUM((J20+J21+J22+J23)+(((J20+J21+J22+J23)/2)*C9/100))*H77</f>
        <v>48.039777500000007</v>
      </c>
      <c r="I79" s="99"/>
      <c r="J79" s="91"/>
    </row>
    <row r="80" spans="1:10" ht="15" customHeight="1" x14ac:dyDescent="0.3">
      <c r="A80" s="81" t="s">
        <v>64</v>
      </c>
      <c r="B80" s="6"/>
      <c r="C80" s="6"/>
      <c r="D80" s="6"/>
      <c r="E80" s="6"/>
      <c r="F80" s="6"/>
      <c r="G80" s="6"/>
      <c r="H80" s="99"/>
      <c r="I80" s="99">
        <f>SUM(J33-H79)</f>
        <v>291.9385974999999</v>
      </c>
      <c r="J80" s="91"/>
    </row>
    <row r="81" spans="1:10" ht="7.5" customHeight="1" x14ac:dyDescent="0.3">
      <c r="A81" s="81"/>
      <c r="B81" s="6"/>
      <c r="C81" s="6"/>
      <c r="D81" s="6"/>
      <c r="E81" s="6"/>
      <c r="F81" s="6"/>
      <c r="G81" s="6"/>
      <c r="H81" s="99"/>
      <c r="I81" s="99"/>
      <c r="J81" s="91"/>
    </row>
    <row r="82" spans="1:10" ht="15" customHeight="1" x14ac:dyDescent="0.3">
      <c r="A82" s="81" t="s">
        <v>69</v>
      </c>
      <c r="B82" s="6"/>
      <c r="C82" s="6"/>
      <c r="D82" s="6"/>
      <c r="E82" s="6"/>
      <c r="F82" s="6"/>
      <c r="G82" s="6"/>
      <c r="H82" s="9">
        <f>SUM(H78-H79)</f>
        <v>127.54662250000001</v>
      </c>
      <c r="I82" s="9">
        <f>I78-I80</f>
        <v>64.555002500000114</v>
      </c>
      <c r="J82" s="107">
        <f>SUM(I82+H82)</f>
        <v>192.10162500000013</v>
      </c>
    </row>
    <row r="83" spans="1:10" ht="15" customHeight="1" x14ac:dyDescent="0.3">
      <c r="A83" s="47"/>
      <c r="B83" s="108" t="s">
        <v>70</v>
      </c>
      <c r="C83" s="6"/>
      <c r="D83" s="6"/>
      <c r="E83" s="6"/>
      <c r="F83" s="6"/>
      <c r="G83" s="6"/>
      <c r="H83" s="96">
        <f>SUM(H82/J78)</f>
        <v>0.23971324330927682</v>
      </c>
      <c r="I83" s="96"/>
      <c r="J83" s="91"/>
    </row>
    <row r="84" spans="1:10" ht="15" customHeight="1" x14ac:dyDescent="0.3">
      <c r="A84" s="81" t="s">
        <v>72</v>
      </c>
      <c r="B84" s="6"/>
      <c r="C84" s="6"/>
      <c r="D84" s="6"/>
      <c r="E84" s="6"/>
      <c r="F84" s="6"/>
      <c r="G84" s="6"/>
      <c r="H84" s="9">
        <f>SUM(H82-H39)</f>
        <v>59.530997500000012</v>
      </c>
      <c r="I84" s="9">
        <f>SUM(I82-I39-I41)</f>
        <v>-47.994997499999897</v>
      </c>
      <c r="J84" s="107">
        <f>SUM(I84+H84)</f>
        <v>11.536000000000115</v>
      </c>
    </row>
    <row r="85" spans="1:10" ht="15" customHeight="1" x14ac:dyDescent="0.3">
      <c r="A85" s="81" t="s">
        <v>56</v>
      </c>
      <c r="B85" s="108"/>
      <c r="C85" s="108"/>
      <c r="D85" s="6"/>
      <c r="E85" s="6"/>
      <c r="F85" s="6"/>
      <c r="G85" s="6"/>
      <c r="H85" s="109">
        <f>SUM(($H$35+H38+H84)/(C6))</f>
        <v>2.8343693888888893E-2</v>
      </c>
      <c r="J85" s="110"/>
    </row>
    <row r="86" spans="1:10" ht="8.1" customHeight="1" x14ac:dyDescent="0.3">
      <c r="A86" s="47"/>
      <c r="B86" s="6"/>
      <c r="C86" s="6"/>
      <c r="D86" s="6"/>
      <c r="E86" s="6"/>
      <c r="F86" s="6"/>
      <c r="G86" s="6"/>
      <c r="J86" s="66"/>
    </row>
    <row r="87" spans="1:10" ht="15" customHeight="1" x14ac:dyDescent="0.3">
      <c r="A87" s="111" t="s">
        <v>65</v>
      </c>
      <c r="B87" s="29"/>
      <c r="C87" s="29"/>
      <c r="D87" s="7"/>
      <c r="E87" s="8"/>
      <c r="F87" s="8"/>
      <c r="G87" s="7"/>
      <c r="H87" s="29"/>
      <c r="I87" s="30"/>
      <c r="J87" s="112"/>
    </row>
    <row r="88" spans="1:10" ht="15" customHeight="1" x14ac:dyDescent="0.3">
      <c r="A88" s="47"/>
      <c r="B88" s="6"/>
      <c r="C88" s="6"/>
      <c r="D88" s="6"/>
      <c r="E88" s="6"/>
      <c r="F88" s="6"/>
      <c r="G88" s="6"/>
      <c r="H88" s="2" t="s">
        <v>0</v>
      </c>
      <c r="I88" s="3" t="s">
        <v>1</v>
      </c>
      <c r="J88" s="106" t="s">
        <v>68</v>
      </c>
    </row>
    <row r="89" spans="1:10" ht="15" customHeight="1" x14ac:dyDescent="0.3">
      <c r="A89" s="81" t="s">
        <v>12</v>
      </c>
      <c r="B89" s="6"/>
      <c r="C89" s="6"/>
      <c r="D89" s="6"/>
      <c r="E89" s="6"/>
      <c r="F89" s="6"/>
      <c r="G89" s="6"/>
      <c r="H89" s="99">
        <f>H10</f>
        <v>100</v>
      </c>
      <c r="I89" s="99">
        <f>SUM(J89-H89)</f>
        <v>432.08000000000004</v>
      </c>
      <c r="J89" s="91">
        <f>J50</f>
        <v>532.08000000000004</v>
      </c>
    </row>
    <row r="90" spans="1:10" ht="15" customHeight="1" x14ac:dyDescent="0.3">
      <c r="A90" s="81" t="s">
        <v>19</v>
      </c>
      <c r="B90" s="6"/>
      <c r="C90" s="6"/>
      <c r="D90" s="6"/>
      <c r="E90" s="6"/>
      <c r="F90" s="6"/>
      <c r="G90" s="6"/>
      <c r="H90" s="96">
        <f>SUM(H89/J50)</f>
        <v>0.1879416629078334</v>
      </c>
      <c r="I90" s="96">
        <f>SUM(I89/J50)</f>
        <v>0.81205833709216657</v>
      </c>
      <c r="J90" s="91"/>
    </row>
    <row r="91" spans="1:10" ht="7.5" customHeight="1" x14ac:dyDescent="0.3">
      <c r="A91" s="81"/>
      <c r="B91" s="6"/>
      <c r="C91" s="6"/>
      <c r="D91" s="6"/>
      <c r="E91" s="6"/>
      <c r="F91" s="6"/>
      <c r="G91" s="6"/>
      <c r="H91" s="96"/>
      <c r="I91" s="99"/>
      <c r="J91" s="91"/>
    </row>
    <row r="92" spans="1:10" ht="15" customHeight="1" x14ac:dyDescent="0.3">
      <c r="A92" s="81" t="s">
        <v>69</v>
      </c>
      <c r="B92" s="6"/>
      <c r="C92" s="6"/>
      <c r="D92" s="6"/>
      <c r="E92" s="98"/>
      <c r="F92" s="6"/>
      <c r="G92" s="6"/>
      <c r="H92" s="9">
        <f>SUM(H89-(H30+((H30/2)*(C9/100))))</f>
        <v>79.25</v>
      </c>
      <c r="I92" s="9">
        <f>SUM(I89-J33+(H30+((H30/2)*(C9/100))))</f>
        <v>112.85162500000013</v>
      </c>
      <c r="J92" s="107">
        <f>SUM(I92+H92)</f>
        <v>192.10162500000013</v>
      </c>
    </row>
    <row r="93" spans="1:10" ht="15" customHeight="1" x14ac:dyDescent="0.3">
      <c r="A93" s="81" t="s">
        <v>72</v>
      </c>
      <c r="B93" s="6"/>
      <c r="C93" s="6"/>
      <c r="D93" s="6"/>
      <c r="E93" s="6"/>
      <c r="F93" s="6"/>
      <c r="G93" s="6"/>
      <c r="H93" s="9">
        <f>H89-H30-((H30/2)*(C9/100))-H39</f>
        <v>11.234375</v>
      </c>
      <c r="I93" s="9">
        <f>SUM(I89-J33+(H30+((H30/2)*(C9/100))))-I39-I41</f>
        <v>0.30162500000011505</v>
      </c>
      <c r="J93" s="107">
        <f>SUM(I93+H93)</f>
        <v>11.536000000000115</v>
      </c>
    </row>
    <row r="94" spans="1:10" ht="15" customHeight="1" x14ac:dyDescent="0.3">
      <c r="A94" s="116" t="s">
        <v>56</v>
      </c>
      <c r="B94" s="117"/>
      <c r="C94" s="117"/>
      <c r="D94" s="53"/>
      <c r="E94" s="53"/>
      <c r="F94" s="53"/>
      <c r="G94" s="53"/>
      <c r="H94" s="118">
        <f>SUM(($H$35+H38+H93)/(C6))</f>
        <v>1.7611111111111112E-2</v>
      </c>
      <c r="I94" s="68"/>
      <c r="J94" s="119"/>
    </row>
    <row r="96" spans="1:10" s="22" customFormat="1" ht="35.25" customHeight="1" x14ac:dyDescent="0.25">
      <c r="A96" s="152" t="s">
        <v>75</v>
      </c>
      <c r="B96" s="152"/>
      <c r="C96" s="152"/>
      <c r="D96" s="152"/>
      <c r="E96" s="152"/>
      <c r="F96" s="152"/>
      <c r="G96" s="152"/>
      <c r="H96" s="152"/>
      <c r="I96" s="152"/>
      <c r="J96" s="152"/>
    </row>
    <row r="97" spans="1:13" s="10" customFormat="1" ht="14.55" customHeight="1" x14ac:dyDescent="0.25">
      <c r="A97" s="127"/>
      <c r="B97" s="127"/>
      <c r="C97" s="127"/>
      <c r="D97" s="128"/>
      <c r="E97" s="128"/>
      <c r="F97" s="128"/>
      <c r="G97" s="128"/>
      <c r="H97" s="128"/>
      <c r="I97" s="132"/>
      <c r="J97" s="129" t="s">
        <v>78</v>
      </c>
      <c r="K97" s="130"/>
      <c r="L97" s="131"/>
      <c r="M97" s="131"/>
    </row>
    <row r="98" spans="1:13" s="10" customFormat="1" x14ac:dyDescent="0.25"/>
    <row r="99" spans="1:13" s="10" customFormat="1" x14ac:dyDescent="0.25"/>
    <row r="100" spans="1:13" s="10" customFormat="1" x14ac:dyDescent="0.25"/>
    <row r="101" spans="1:13" s="10" customFormat="1" x14ac:dyDescent="0.25"/>
    <row r="102" spans="1:13" s="10" customFormat="1" x14ac:dyDescent="0.25"/>
    <row r="103" spans="1:13" s="10" customFormat="1" x14ac:dyDescent="0.25"/>
    <row r="104" spans="1:13" s="10" customFormat="1" x14ac:dyDescent="0.25"/>
  </sheetData>
  <sheetProtection algorithmName="SHA-512" hashValue="QkHnf2NE7DwnalInALFPoKYYpRyPvi53imscCOIaA3/EWqUaayGMESc6TAXh96b7Jnx3sw52Lz+vvqv3qmh8ng==" saltValue="uhq9xbolkP6ynUSZYbmXsQ==" spinCount="100000" sheet="1" objects="1" scenarios="1"/>
  <mergeCells count="3">
    <mergeCell ref="A18:B18"/>
    <mergeCell ref="I47:J47"/>
    <mergeCell ref="A96:J96"/>
  </mergeCells>
  <dataValidations count="1">
    <dataValidation type="list" allowBlank="1" showInputMessage="1" showErrorMessage="1" sqref="G41 G35:G38 G19:G30" xr:uid="{00000000-0002-0000-0000-000000000000}">
      <formula1>$N$20:$N$39</formula1>
    </dataValidation>
  </dataValidations>
  <printOptions horizontalCentered="1"/>
  <pageMargins left="0.74803149606299213" right="0.74803149606299213" top="0.59055118110236227" bottom="0.55118110236220474" header="0.51181102362204722" footer="0.31496062992125984"/>
  <pageSetup scale="69" firstPageNumber="4" fitToHeight="2" orientation="portrait" useFirstPageNumber="1" r:id="rId1"/>
  <headerFooter alignWithMargins="0">
    <oddFooter>&amp;R&amp;9Manitoba Agriculture</oddFooter>
  </headerFooter>
  <rowBreaks count="1" manualBreakCount="1">
    <brk id="60" max="9" man="1"/>
  </rowBreaks>
  <ignoredErrors>
    <ignoredError sqref="I19:I25 I26:I30" formulaRange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8E0A0D-2146-466A-9EAA-D3C811A2F9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14090A-0A41-40E1-83E3-0BD33810AD2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B7CF41-4B97-4158-9929-92EF9D232A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Crop Lease</vt:lpstr>
      <vt:lpstr>'Crop Lease'!Print_Area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CropShare Lease Calculator</dc:title>
  <dc:creator>Roy Arnott</dc:creator>
  <cp:lastModifiedBy>Berthelette, Crystal</cp:lastModifiedBy>
  <cp:lastPrinted>2016-11-15T21:54:56Z</cp:lastPrinted>
  <dcterms:created xsi:type="dcterms:W3CDTF">2015-02-02T19:59:27Z</dcterms:created>
  <dcterms:modified xsi:type="dcterms:W3CDTF">2025-01-02T14:16:23Z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0x01010007C3257931C4EB4CBE667AF33D71167E</vt:lpwstr>
  </property>
</Properties>
</file>