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03\Farm Management\1. Cost of Production\1.3. Livestock\COP Beef\Livestock Calculators\"/>
    </mc:Choice>
  </mc:AlternateContent>
  <xr:revisionPtr revIDLastSave="0" documentId="13_ncr:1_{44BFFB09-F01B-437F-9310-806C2CFD0011}" xr6:coauthVersionLast="47" xr6:coauthVersionMax="47" xr10:uidLastSave="{00000000-0000-0000-0000-000000000000}"/>
  <workbookProtection workbookPassword="C6A6" lockStructure="1"/>
  <bookViews>
    <workbookView xWindow="-110" yWindow="-110" windowWidth="19420" windowHeight="10300" xr2:uid="{00000000-000D-0000-FFFF-FFFF00000000}"/>
  </bookViews>
  <sheets>
    <sheet name="Fence Cost" sheetId="1" r:id="rId1"/>
    <sheet name="Fence &amp; Labour Cost Worksheet" sheetId="2" r:id="rId2"/>
  </sheets>
  <definedNames>
    <definedName name="_xlnm.Print_Area" localSheetId="1">'Fence &amp; Labour Cost Worksheet'!$A$1:$E$88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" i="2" l="1"/>
  <c r="E25" i="2" l="1"/>
  <c r="E47" i="2" s="1"/>
  <c r="E3" i="2"/>
  <c r="D3" i="1"/>
  <c r="D25" i="2"/>
  <c r="D47" i="2" s="1"/>
  <c r="C25" i="2"/>
  <c r="C47" i="2" s="1"/>
  <c r="A8" i="1"/>
  <c r="E50" i="2" s="1"/>
  <c r="B31" i="2"/>
  <c r="D31" i="2"/>
  <c r="C31" i="2"/>
  <c r="E17" i="2"/>
  <c r="E16" i="2"/>
  <c r="E15" i="2"/>
  <c r="D30" i="2"/>
  <c r="C30" i="2"/>
  <c r="B30" i="2"/>
  <c r="B18" i="1"/>
  <c r="B58" i="1"/>
  <c r="D58" i="1" s="1"/>
  <c r="B57" i="1"/>
  <c r="D57" i="1" s="1"/>
  <c r="B25" i="1"/>
  <c r="D25" i="1" s="1"/>
  <c r="B24" i="1"/>
  <c r="D24" i="1" s="1"/>
  <c r="B78" i="1"/>
  <c r="B82" i="1" s="1"/>
  <c r="B53" i="1"/>
  <c r="D53" i="1" s="1"/>
  <c r="B37" i="1"/>
  <c r="C50" i="2" s="1"/>
  <c r="B22" i="1"/>
  <c r="B49" i="2" s="1"/>
  <c r="B21" i="1"/>
  <c r="B50" i="2" s="1"/>
  <c r="A22" i="1"/>
  <c r="A21" i="1"/>
  <c r="A18" i="1"/>
  <c r="F66" i="1"/>
  <c r="A53" i="1"/>
  <c r="A37" i="1"/>
  <c r="D49" i="1"/>
  <c r="D64" i="2"/>
  <c r="D61" i="2"/>
  <c r="B52" i="1"/>
  <c r="D33" i="2" s="1"/>
  <c r="D63" i="2"/>
  <c r="D59" i="2"/>
  <c r="D58" i="2"/>
  <c r="D26" i="1"/>
  <c r="A17" i="1"/>
  <c r="A36" i="1"/>
  <c r="A52" i="1"/>
  <c r="B17" i="1"/>
  <c r="B33" i="2" s="1"/>
  <c r="B36" i="1"/>
  <c r="C33" i="2" s="1"/>
  <c r="D59" i="1"/>
  <c r="D40" i="1"/>
  <c r="F67" i="1"/>
  <c r="D60" i="2"/>
  <c r="D62" i="2"/>
  <c r="B51" i="2"/>
  <c r="C20" i="1" l="1"/>
  <c r="C39" i="1"/>
  <c r="C55" i="1"/>
  <c r="C54" i="1"/>
  <c r="C19" i="1"/>
  <c r="C38" i="1"/>
  <c r="F65" i="1"/>
  <c r="D18" i="1"/>
  <c r="E51" i="2"/>
  <c r="D52" i="1"/>
  <c r="E52" i="2"/>
  <c r="D37" i="2"/>
  <c r="D32" i="2"/>
  <c r="D49" i="2"/>
  <c r="C38" i="2"/>
  <c r="C37" i="2"/>
  <c r="C39" i="2" s="1"/>
  <c r="D36" i="1"/>
  <c r="C32" i="2"/>
  <c r="D22" i="1"/>
  <c r="E49" i="2"/>
  <c r="D65" i="2"/>
  <c r="D20" i="1"/>
  <c r="B52" i="2"/>
  <c r="B25" i="2"/>
  <c r="B47" i="2" s="1"/>
  <c r="E38" i="2"/>
  <c r="E31" i="2"/>
  <c r="E37" i="2"/>
  <c r="E33" i="2"/>
  <c r="E30" i="2"/>
  <c r="E12" i="2"/>
  <c r="B38" i="2"/>
  <c r="B34" i="2"/>
  <c r="B37" i="2"/>
  <c r="D37" i="1"/>
  <c r="D21" i="1"/>
  <c r="B23" i="1"/>
  <c r="D23" i="1" s="1"/>
  <c r="B32" i="2"/>
  <c r="D17" i="1"/>
  <c r="C34" i="2"/>
  <c r="C35" i="2" s="1"/>
  <c r="C52" i="2"/>
  <c r="D52" i="2"/>
  <c r="D34" i="2"/>
  <c r="B56" i="1"/>
  <c r="D56" i="1" s="1"/>
  <c r="D38" i="2"/>
  <c r="D39" i="1"/>
  <c r="D55" i="1"/>
  <c r="D38" i="1"/>
  <c r="D54" i="1"/>
  <c r="D19" i="1"/>
  <c r="E32" i="2" l="1"/>
  <c r="D35" i="2"/>
  <c r="B39" i="2"/>
  <c r="D39" i="2"/>
  <c r="D28" i="1"/>
  <c r="A29" i="1" s="1"/>
  <c r="E39" i="2"/>
  <c r="D61" i="1"/>
  <c r="D70" i="1" s="1"/>
  <c r="D42" i="1"/>
  <c r="A43" i="1" s="1"/>
  <c r="B35" i="2"/>
  <c r="D67" i="1" l="1"/>
  <c r="D71" i="1" s="1"/>
  <c r="E28" i="2" s="1"/>
  <c r="B28" i="2"/>
  <c r="B41" i="2" s="1"/>
  <c r="A62" i="1"/>
  <c r="D28" i="2"/>
  <c r="D41" i="2" s="1"/>
  <c r="D42" i="2" s="1"/>
  <c r="C28" i="2"/>
  <c r="C41" i="2" s="1"/>
  <c r="C44" i="2" s="1"/>
  <c r="A72" i="1" l="1"/>
  <c r="E34" i="2" s="1"/>
  <c r="E35" i="2" s="1"/>
  <c r="E41" i="2" s="1"/>
  <c r="E42" i="2" s="1"/>
  <c r="D44" i="2"/>
  <c r="C42" i="2"/>
  <c r="B42" i="2"/>
  <c r="B44" i="2"/>
  <c r="E44" i="2" l="1"/>
  <c r="B68" i="2" s="1"/>
  <c r="C75" i="2" s="1"/>
  <c r="C74" i="2" l="1"/>
  <c r="C73" i="2"/>
  <c r="C77" i="2" l="1"/>
  <c r="C78" i="2" s="1"/>
</calcChain>
</file>

<file path=xl/sharedStrings.xml><?xml version="1.0" encoding="utf-8"?>
<sst xmlns="http://schemas.openxmlformats.org/spreadsheetml/2006/main" count="141" uniqueCount="104">
  <si>
    <t>Quantity</t>
  </si>
  <si>
    <t>Post insulators</t>
  </si>
  <si>
    <t>Corner Strainers</t>
  </si>
  <si>
    <t>Inline tighteners</t>
  </si>
  <si>
    <t>Miscellaneous</t>
  </si>
  <si>
    <t>(staples, clamps, underground cable, gates, etc.)</t>
  </si>
  <si>
    <t>Total Material Costs</t>
  </si>
  <si>
    <t>Lightning diverter</t>
  </si>
  <si>
    <t>Solar panel</t>
  </si>
  <si>
    <t>Battery</t>
  </si>
  <si>
    <t>3 Ground rods</t>
  </si>
  <si>
    <t>Solar fencer (5 - 40 km)</t>
  </si>
  <si>
    <t>Plug in fencer (5 - 40 km)</t>
  </si>
  <si>
    <t>Total / Mile</t>
  </si>
  <si>
    <t>Fence Type</t>
  </si>
  <si>
    <t>Depreciation (years)</t>
  </si>
  <si>
    <t>Investment cost %</t>
  </si>
  <si>
    <t>Annual repair cost %</t>
  </si>
  <si>
    <t>Annual Cost</t>
  </si>
  <si>
    <t>Total Cost / Year</t>
  </si>
  <si>
    <t>Cost/unit</t>
  </si>
  <si>
    <t>Number</t>
  </si>
  <si>
    <t>Total</t>
  </si>
  <si>
    <t>Additional Items</t>
  </si>
  <si>
    <t>Total Farm Fence Cost</t>
  </si>
  <si>
    <t>16 foot Steel Gates</t>
  </si>
  <si>
    <t>Post Spacing (ft):</t>
  </si>
  <si>
    <r>
      <t>Unit Price</t>
    </r>
    <r>
      <rPr>
        <b/>
        <sz val="10"/>
        <rFont val="Arial"/>
        <family val="2"/>
      </rPr>
      <t>*</t>
    </r>
  </si>
  <si>
    <t>Estimated Material &amp; Labour Costs</t>
  </si>
  <si>
    <t>Additional Material Costs to Consider</t>
  </si>
  <si>
    <t>Notes</t>
  </si>
  <si>
    <t>Material Required (estimated)</t>
  </si>
  <si>
    <t>Capital Cost</t>
  </si>
  <si>
    <t>Subtotal</t>
  </si>
  <si>
    <t>Power Strands:</t>
  </si>
  <si>
    <t>Ground Strands:</t>
  </si>
  <si>
    <t>Total Strands:</t>
  </si>
  <si>
    <t>Wire (ft/roll):</t>
  </si>
  <si>
    <t>Page Wire (ft/roll):</t>
  </si>
  <si>
    <t>Strands Barbed Wire:</t>
  </si>
  <si>
    <t>Strands Electric Wire:</t>
  </si>
  <si>
    <t xml:space="preserve"> Barbed Wire (ft/roll):</t>
  </si>
  <si>
    <t>3D Fence Option (pick from options above)</t>
  </si>
  <si>
    <t xml:space="preserve">Top Support Post </t>
  </si>
  <si>
    <t>(staples, clamps, wire, etc.)</t>
  </si>
  <si>
    <t>Support Wire &amp; Miscellaneous</t>
  </si>
  <si>
    <t>Electric Wire  (ft/roll):</t>
  </si>
  <si>
    <t>Post used for Brace (Corner or Gate)</t>
  </si>
  <si>
    <t>Number of Posts Used for Brace (select 2 or 3)</t>
  </si>
  <si>
    <t>Total Cost for Fence Brace</t>
  </si>
  <si>
    <t>Fence Brace Cost Breakdown</t>
  </si>
  <si>
    <t>Number of Corners (2 Braces per Corner)</t>
  </si>
  <si>
    <t>Number of Gates (2 Braces per Gate)</t>
  </si>
  <si>
    <t>Strands Page Wire:</t>
  </si>
  <si>
    <t>Number of Top Support Posts Used for Brace</t>
  </si>
  <si>
    <t>Prices will vary by location</t>
  </si>
  <si>
    <t>Labour Required for:</t>
  </si>
  <si>
    <t>Fencing Cost Worksheet</t>
  </si>
  <si>
    <t>Time (hours)</t>
  </si>
  <si>
    <t>Number of cows</t>
  </si>
  <si>
    <t>Barbed Wire Fence</t>
  </si>
  <si>
    <t>Electric Wire Fence</t>
  </si>
  <si>
    <t>Total Cost / Cow / Year</t>
  </si>
  <si>
    <t>n/a</t>
  </si>
  <si>
    <t xml:space="preserve">  Brace Assembly (each)</t>
  </si>
  <si>
    <t xml:space="preserve">  Unwind and Stretch - Page Wire (per mile)</t>
  </si>
  <si>
    <t xml:space="preserve">  Unwind and Stretch - Barb Wire (per mile per strand)</t>
  </si>
  <si>
    <t xml:space="preserve">  Unwind and Stretch - Electric Wire (per mile per strand)</t>
  </si>
  <si>
    <t xml:space="preserve">  Fasten - Barb and Electric Wire (per post per strand)</t>
  </si>
  <si>
    <t xml:space="preserve">  Fasten - Page Wire (per post per strand)</t>
  </si>
  <si>
    <t xml:space="preserve">  Post Driver (per post)</t>
  </si>
  <si>
    <t xml:space="preserve">  Brace Assembly</t>
  </si>
  <si>
    <t xml:space="preserve">  Unwind and Stretch</t>
  </si>
  <si>
    <t xml:space="preserve">  Fasten</t>
  </si>
  <si>
    <t xml:space="preserve">  Tractor</t>
  </si>
  <si>
    <t xml:space="preserve">  Post Driver</t>
  </si>
  <si>
    <t>Material Cost ($/mile)</t>
  </si>
  <si>
    <t>Labour Cost ($/mile)</t>
  </si>
  <si>
    <t>Equipment Cost ($/mile)</t>
  </si>
  <si>
    <t>Total Cost ($/mile)</t>
  </si>
  <si>
    <t>Labour Rate ($ per hour)</t>
  </si>
  <si>
    <t>Tractor Cost ($ per hour)</t>
  </si>
  <si>
    <t>Post Driver Cost ($ per hour)</t>
  </si>
  <si>
    <t>Number of People Required</t>
  </si>
  <si>
    <t>Cost / Year</t>
  </si>
  <si>
    <t xml:space="preserve">  Wire - 12.5 gauge</t>
  </si>
  <si>
    <t xml:space="preserve">  Wire - barbed</t>
  </si>
  <si>
    <t xml:space="preserve">  Page wire</t>
  </si>
  <si>
    <t xml:space="preserve">  Posts</t>
  </si>
  <si>
    <t xml:space="preserve">  Additional material (see below)</t>
  </si>
  <si>
    <t>Number of miles of fence required for your farm</t>
  </si>
  <si>
    <t>Total Material &amp; Labour Cost</t>
  </si>
  <si>
    <t>. . . . . . . . . . . . . . . . . . . . . . . . . . . . . . . . . . . . . . . . . . . .</t>
  </si>
  <si>
    <t>Printed:</t>
  </si>
  <si>
    <r>
      <t xml:space="preserve">*** Enter/select changes to items in </t>
    </r>
    <r>
      <rPr>
        <b/>
        <sz val="10"/>
        <color indexed="12"/>
        <rFont val="Arial"/>
        <family val="2"/>
      </rPr>
      <t xml:space="preserve">BLUE </t>
    </r>
    <r>
      <rPr>
        <b/>
        <sz val="10"/>
        <rFont val="Arial"/>
        <family val="2"/>
      </rPr>
      <t>only ***</t>
    </r>
  </si>
  <si>
    <t>Livestock Fence Cost Calculator</t>
  </si>
  <si>
    <t>. . . . . . . . . . . . . . . . . . . . . . . . . . . . . . . . . . . . . . . .</t>
  </si>
  <si>
    <r>
      <rPr>
        <b/>
        <sz val="10"/>
        <rFont val="Arial"/>
        <family val="2"/>
      </rPr>
      <t xml:space="preserve">Note: </t>
    </r>
    <r>
      <rPr>
        <sz val="10"/>
        <rFont val="Arial"/>
        <family val="2"/>
      </rPr>
      <t xml:space="preserve">This budget is only a guide and is not intended as an in-depth study of fence costs. Interpretation and use of this information is the responsibility of the user. </t>
    </r>
  </si>
  <si>
    <t>Total Cost ($/foot)</t>
  </si>
  <si>
    <t>(A.) - Primary Fence</t>
  </si>
  <si>
    <t>(B.) - Secondary Fence</t>
  </si>
  <si>
    <r>
      <t>Note:</t>
    </r>
    <r>
      <rPr>
        <sz val="10"/>
        <rFont val="Arial"/>
        <family val="2"/>
      </rPr>
      <t xml:space="preserve"> This budget is only a guide and is not intended to be an in-depth study of the cost of fence costs.  Interpretation and utilization of this information is the responsibility of the user. </t>
    </r>
  </si>
  <si>
    <t>Page Wire Fence with optional top wires</t>
  </si>
  <si>
    <t>April,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</si>
</sst>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&quot;$&quot;#,##0"/>
    <numFmt numFmtId="166" formatCode="0.000"/>
    <numFmt numFmtId="167" formatCode="0.0"/>
  </numFmts>
  <fonts count="3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8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i/>
      <sz val="9"/>
      <name val="Arial"/>
      <family val="2"/>
    </font>
    <font>
      <u/>
      <sz val="10"/>
      <name val="Arial"/>
      <family val="2"/>
    </font>
    <font>
      <sz val="26"/>
      <color indexed="10"/>
      <name val="Times New Roman"/>
      <family val="1"/>
    </font>
    <font>
      <sz val="22"/>
      <name val="Arial"/>
      <family val="2"/>
    </font>
    <font>
      <i/>
      <sz val="8"/>
      <name val="Arial"/>
      <family val="2"/>
    </font>
    <font>
      <b/>
      <sz val="10"/>
      <color indexed="12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</font>
    <font>
      <b/>
      <sz val="10"/>
      <color rgb="FF0000FF"/>
      <name val="Arial"/>
      <family val="2"/>
    </font>
    <font>
      <sz val="10"/>
      <color rgb="FF000000"/>
      <name val="Arial"/>
      <family val="2"/>
    </font>
    <font>
      <b/>
      <sz val="11"/>
      <color rgb="FF0000FF"/>
      <name val="Arial"/>
      <family val="2"/>
    </font>
    <font>
      <b/>
      <i/>
      <sz val="10"/>
      <color rgb="FF0000FF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rgb="FF008000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3"/>
      <color theme="0"/>
      <name val="Arial"/>
      <family val="2"/>
    </font>
    <font>
      <b/>
      <sz val="10"/>
      <color theme="0"/>
      <name val="Arial"/>
      <family val="2"/>
    </font>
    <font>
      <b/>
      <i/>
      <sz val="13"/>
      <color theme="0"/>
      <name val="Arial"/>
      <family val="2"/>
    </font>
    <font>
      <i/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indexed="64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indexed="64"/>
      </right>
      <top style="medium">
        <color rgb="FF0000FF"/>
      </top>
      <bottom style="medium">
        <color rgb="FF0000FF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164" fontId="17" fillId="0" borderId="0">
      <alignment vertical="top"/>
    </xf>
  </cellStyleXfs>
  <cellXfs count="186">
    <xf numFmtId="0" fontId="0" fillId="0" borderId="0" xfId="0"/>
    <xf numFmtId="0" fontId="0" fillId="0" borderId="1" xfId="0" applyBorder="1"/>
    <xf numFmtId="0" fontId="4" fillId="0" borderId="0" xfId="0" applyFont="1"/>
    <xf numFmtId="164" fontId="0" fillId="0" borderId="0" xfId="0" applyNumberFormat="1"/>
    <xf numFmtId="164" fontId="4" fillId="0" borderId="0" xfId="0" applyNumberFormat="1" applyFont="1"/>
    <xf numFmtId="0" fontId="2" fillId="0" borderId="1" xfId="0" applyFont="1" applyBorder="1" applyAlignment="1">
      <alignment horizontal="center"/>
    </xf>
    <xf numFmtId="164" fontId="0" fillId="0" borderId="1" xfId="0" applyNumberFormat="1" applyBorder="1"/>
    <xf numFmtId="0" fontId="19" fillId="0" borderId="1" xfId="0" applyFont="1" applyBorder="1" applyAlignment="1" applyProtection="1">
      <alignment horizontal="center"/>
      <protection locked="0"/>
    </xf>
    <xf numFmtId="0" fontId="0" fillId="0" borderId="2" xfId="0" applyBorder="1"/>
    <xf numFmtId="0" fontId="0" fillId="0" borderId="3" xfId="0" applyBorder="1"/>
    <xf numFmtId="164" fontId="0" fillId="0" borderId="3" xfId="0" applyNumberFormat="1" applyBorder="1"/>
    <xf numFmtId="0" fontId="4" fillId="0" borderId="2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/>
    <xf numFmtId="164" fontId="2" fillId="0" borderId="4" xfId="0" applyNumberFormat="1" applyFont="1" applyBorder="1"/>
    <xf numFmtId="0" fontId="0" fillId="0" borderId="8" xfId="0" applyBorder="1"/>
    <xf numFmtId="164" fontId="2" fillId="0" borderId="9" xfId="0" applyNumberFormat="1" applyFont="1" applyBorder="1"/>
    <xf numFmtId="0" fontId="4" fillId="0" borderId="1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9" xfId="0" applyBorder="1" applyAlignment="1">
      <alignment horizontal="right"/>
    </xf>
    <xf numFmtId="3" fontId="19" fillId="0" borderId="8" xfId="0" applyNumberFormat="1" applyFont="1" applyBorder="1" applyAlignment="1" applyProtection="1">
      <alignment horizontal="center"/>
      <protection locked="0"/>
    </xf>
    <xf numFmtId="3" fontId="19" fillId="0" borderId="10" xfId="0" applyNumberFormat="1" applyFont="1" applyBorder="1" applyAlignment="1" applyProtection="1">
      <alignment horizontal="center"/>
      <protection locked="0"/>
    </xf>
    <xf numFmtId="164" fontId="0" fillId="0" borderId="6" xfId="0" applyNumberFormat="1" applyBorder="1"/>
    <xf numFmtId="164" fontId="2" fillId="0" borderId="0" xfId="0" applyNumberFormat="1" applyFont="1"/>
    <xf numFmtId="165" fontId="19" fillId="0" borderId="9" xfId="0" applyNumberFormat="1" applyFont="1" applyBorder="1" applyProtection="1">
      <protection locked="0"/>
    </xf>
    <xf numFmtId="164" fontId="0" fillId="0" borderId="9" xfId="0" applyNumberFormat="1" applyBorder="1"/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/>
    <xf numFmtId="0" fontId="2" fillId="0" borderId="12" xfId="0" applyFont="1" applyBorder="1"/>
    <xf numFmtId="0" fontId="4" fillId="0" borderId="2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2" fillId="0" borderId="13" xfId="0" applyFont="1" applyBorder="1"/>
    <xf numFmtId="164" fontId="2" fillId="0" borderId="13" xfId="0" applyNumberFormat="1" applyFont="1" applyBorder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4" fontId="19" fillId="0" borderId="0" xfId="0" applyNumberFormat="1" applyFont="1" applyAlignment="1" applyProtection="1">
      <alignment vertical="center"/>
      <protection locked="0"/>
    </xf>
    <xf numFmtId="0" fontId="2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5" fontId="19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165" fontId="19" fillId="0" borderId="0" xfId="0" applyNumberFormat="1" applyFont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0" fontId="4" fillId="0" borderId="2" xfId="0" applyFont="1" applyBorder="1" applyAlignment="1">
      <alignment vertical="center"/>
    </xf>
    <xf numFmtId="164" fontId="0" fillId="0" borderId="3" xfId="0" applyNumberFormat="1" applyBorder="1" applyAlignment="1">
      <alignment vertical="center"/>
    </xf>
    <xf numFmtId="0" fontId="11" fillId="0" borderId="2" xfId="0" applyFont="1" applyBorder="1" applyAlignment="1">
      <alignment horizontal="left" vertical="center" inden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2" fillId="2" borderId="3" xfId="0" applyNumberFormat="1" applyFont="1" applyFill="1" applyBorder="1" applyAlignment="1">
      <alignment vertical="center"/>
    </xf>
    <xf numFmtId="0" fontId="21" fillId="3" borderId="0" xfId="0" applyFont="1" applyFill="1" applyAlignment="1" applyProtection="1">
      <alignment horizontal="left" vertical="center" indent="1"/>
      <protection locked="0"/>
    </xf>
    <xf numFmtId="0" fontId="0" fillId="3" borderId="3" xfId="0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22" fillId="3" borderId="3" xfId="0" applyFont="1" applyFill="1" applyBorder="1" applyAlignment="1" applyProtection="1">
      <alignment horizontal="left" vertical="center" indent="1"/>
      <protection locked="0"/>
    </xf>
    <xf numFmtId="0" fontId="8" fillId="3" borderId="3" xfId="0" applyFont="1" applyFill="1" applyBorder="1" applyAlignment="1" applyProtection="1">
      <alignment horizontal="left" vertical="center" indent="1"/>
      <protection locked="0"/>
    </xf>
    <xf numFmtId="0" fontId="0" fillId="2" borderId="2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4" fillId="0" borderId="0" xfId="0" applyFont="1" applyAlignment="1">
      <alignment horizontal="center"/>
    </xf>
    <xf numFmtId="0" fontId="19" fillId="0" borderId="0" xfId="0" applyFont="1" applyAlignment="1" applyProtection="1">
      <alignment vertical="center"/>
      <protection locked="0"/>
    </xf>
    <xf numFmtId="0" fontId="19" fillId="4" borderId="18" xfId="0" applyFont="1" applyFill="1" applyBorder="1" applyAlignment="1" applyProtection="1">
      <alignment vertical="center"/>
      <protection locked="0"/>
    </xf>
    <xf numFmtId="164" fontId="2" fillId="0" borderId="0" xfId="0" applyNumberFormat="1" applyFont="1" applyAlignment="1">
      <alignment vertical="center"/>
    </xf>
    <xf numFmtId="3" fontId="21" fillId="3" borderId="0" xfId="0" applyNumberFormat="1" applyFont="1" applyFill="1" applyAlignment="1" applyProtection="1">
      <alignment horizontal="left" vertical="center" indent="1"/>
      <protection locked="0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9" fillId="0" borderId="0" xfId="0" applyFont="1" applyAlignment="1" applyProtection="1">
      <alignment horizontal="right" vertical="center"/>
      <protection locked="0"/>
    </xf>
    <xf numFmtId="164" fontId="2" fillId="0" borderId="10" xfId="0" applyNumberFormat="1" applyFont="1" applyBorder="1" applyAlignment="1">
      <alignment horizontal="right"/>
    </xf>
    <xf numFmtId="0" fontId="2" fillId="0" borderId="7" xfId="0" applyFont="1" applyBorder="1" applyAlignment="1">
      <alignment vertical="center"/>
    </xf>
    <xf numFmtId="165" fontId="2" fillId="0" borderId="13" xfId="0" applyNumberFormat="1" applyFont="1" applyBorder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3" fontId="19" fillId="0" borderId="9" xfId="0" applyNumberFormat="1" applyFont="1" applyBorder="1" applyAlignment="1" applyProtection="1">
      <alignment horizontal="center"/>
      <protection locked="0"/>
    </xf>
    <xf numFmtId="164" fontId="0" fillId="0" borderId="4" xfId="0" applyNumberFormat="1" applyBorder="1"/>
    <xf numFmtId="0" fontId="3" fillId="0" borderId="0" xfId="0" applyFont="1" applyAlignment="1">
      <alignment horizontal="left" vertical="center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0" fillId="0" borderId="7" xfId="0" applyBorder="1"/>
    <xf numFmtId="164" fontId="10" fillId="0" borderId="3" xfId="0" applyNumberFormat="1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2" fontId="19" fillId="0" borderId="0" xfId="0" applyNumberFormat="1" applyFont="1" applyAlignment="1" applyProtection="1">
      <alignment horizontal="center" vertical="center"/>
      <protection locked="0"/>
    </xf>
    <xf numFmtId="166" fontId="19" fillId="0" borderId="0" xfId="0" applyNumberFormat="1" applyFont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left"/>
    </xf>
    <xf numFmtId="164" fontId="2" fillId="0" borderId="16" xfId="0" applyNumberFormat="1" applyFont="1" applyBorder="1"/>
    <xf numFmtId="164" fontId="0" fillId="0" borderId="16" xfId="0" applyNumberFormat="1" applyBorder="1"/>
    <xf numFmtId="164" fontId="0" fillId="0" borderId="17" xfId="0" applyNumberFormat="1" applyBorder="1"/>
    <xf numFmtId="0" fontId="19" fillId="0" borderId="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left" vertical="center" wrapText="1"/>
    </xf>
    <xf numFmtId="0" fontId="19" fillId="0" borderId="10" xfId="0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/>
    <xf numFmtId="164" fontId="2" fillId="0" borderId="3" xfId="0" applyNumberFormat="1" applyFont="1" applyBorder="1"/>
    <xf numFmtId="164" fontId="0" fillId="0" borderId="10" xfId="0" applyNumberFormat="1" applyBorder="1" applyAlignment="1">
      <alignment horizontal="right"/>
    </xf>
    <xf numFmtId="164" fontId="12" fillId="0" borderId="10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11" xfId="0" applyFont="1" applyBorder="1" applyAlignment="1">
      <alignment horizontal="left" vertical="center" wrapText="1"/>
    </xf>
    <xf numFmtId="0" fontId="19" fillId="0" borderId="1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wrapText="1"/>
    </xf>
    <xf numFmtId="0" fontId="19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3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14" fontId="1" fillId="0" borderId="0" xfId="0" applyNumberFormat="1" applyFont="1"/>
    <xf numFmtId="14" fontId="1" fillId="0" borderId="0" xfId="0" applyNumberFormat="1" applyFont="1" applyAlignment="1">
      <alignment horizontal="right"/>
    </xf>
    <xf numFmtId="0" fontId="26" fillId="0" borderId="0" xfId="0" applyFont="1" applyAlignment="1">
      <alignment wrapText="1"/>
    </xf>
    <xf numFmtId="164" fontId="4" fillId="0" borderId="0" xfId="2" applyFont="1" applyAlignment="1">
      <alignment vertical="top" wrapText="1"/>
    </xf>
    <xf numFmtId="167" fontId="0" fillId="0" borderId="0" xfId="0" applyNumberFormat="1"/>
    <xf numFmtId="0" fontId="27" fillId="0" borderId="1" xfId="0" applyFont="1" applyBorder="1"/>
    <xf numFmtId="0" fontId="28" fillId="0" borderId="1" xfId="0" applyFont="1" applyBorder="1"/>
    <xf numFmtId="0" fontId="27" fillId="0" borderId="1" xfId="0" applyFont="1" applyBorder="1" applyAlignment="1">
      <alignment horizontal="right"/>
    </xf>
    <xf numFmtId="1" fontId="0" fillId="0" borderId="0" xfId="0" applyNumberFormat="1"/>
    <xf numFmtId="165" fontId="19" fillId="0" borderId="8" xfId="0" applyNumberFormat="1" applyFont="1" applyBorder="1" applyAlignment="1" applyProtection="1">
      <alignment horizontal="center"/>
      <protection locked="0"/>
    </xf>
    <xf numFmtId="165" fontId="19" fillId="0" borderId="10" xfId="0" applyNumberFormat="1" applyFont="1" applyBorder="1" applyAlignment="1" applyProtection="1">
      <alignment horizontal="center"/>
      <protection locked="0"/>
    </xf>
    <xf numFmtId="165" fontId="19" fillId="0" borderId="9" xfId="0" applyNumberFormat="1" applyFont="1" applyBorder="1" applyAlignment="1" applyProtection="1">
      <alignment horizontal="center"/>
      <protection locked="0"/>
    </xf>
    <xf numFmtId="3" fontId="35" fillId="0" borderId="0" xfId="0" applyNumberFormat="1" applyFont="1"/>
    <xf numFmtId="3" fontId="2" fillId="0" borderId="0" xfId="0" applyNumberFormat="1" applyFont="1" applyAlignment="1">
      <alignment vertical="top" wrapText="1"/>
    </xf>
    <xf numFmtId="164" fontId="4" fillId="0" borderId="10" xfId="0" applyNumberFormat="1" applyFont="1" applyBorder="1"/>
    <xf numFmtId="164" fontId="12" fillId="0" borderId="10" xfId="0" applyNumberFormat="1" applyFont="1" applyBorder="1"/>
    <xf numFmtId="0" fontId="2" fillId="0" borderId="0" xfId="0" applyFont="1"/>
    <xf numFmtId="0" fontId="2" fillId="0" borderId="1" xfId="0" applyFont="1" applyBorder="1" applyAlignment="1">
      <alignment horizontal="right"/>
    </xf>
    <xf numFmtId="0" fontId="0" fillId="0" borderId="13" xfId="0" applyBorder="1" applyAlignment="1">
      <alignment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14" xfId="0" applyFont="1" applyFill="1" applyBorder="1" applyAlignment="1">
      <alignment horizontal="center" vertical="center"/>
    </xf>
    <xf numFmtId="0" fontId="29" fillId="5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horizontal="right" vertical="center"/>
    </xf>
    <xf numFmtId="0" fontId="32" fillId="0" borderId="15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32" fillId="0" borderId="17" xfId="0" applyFont="1" applyBorder="1" applyAlignment="1">
      <alignment horizontal="left" vertical="center" wrapText="1"/>
    </xf>
    <xf numFmtId="0" fontId="19" fillId="4" borderId="19" xfId="0" applyFont="1" applyFill="1" applyBorder="1" applyAlignment="1" applyProtection="1">
      <alignment horizontal="left" vertical="center" indent="2"/>
      <protection locked="0"/>
    </xf>
    <xf numFmtId="0" fontId="19" fillId="4" borderId="20" xfId="0" applyFont="1" applyFill="1" applyBorder="1" applyAlignment="1" applyProtection="1">
      <alignment horizontal="left" vertical="center" indent="2"/>
      <protection locked="0"/>
    </xf>
    <xf numFmtId="0" fontId="19" fillId="4" borderId="21" xfId="0" applyFont="1" applyFill="1" applyBorder="1" applyAlignment="1" applyProtection="1">
      <alignment horizontal="left" vertical="center" indent="2"/>
      <protection locked="0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14" xfId="0" applyFont="1" applyFill="1" applyBorder="1" applyAlignment="1">
      <alignment horizontal="center" vertical="center"/>
    </xf>
    <xf numFmtId="0" fontId="31" fillId="5" borderId="6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0" fillId="5" borderId="13" xfId="0" applyFont="1" applyFill="1" applyBorder="1" applyAlignment="1">
      <alignment horizontal="center" vertical="center"/>
    </xf>
    <xf numFmtId="0" fontId="30" fillId="5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" fontId="2" fillId="0" borderId="0" xfId="0" applyNumberFormat="1" applyFont="1" applyAlignment="1">
      <alignment horizontal="left" vertical="top" wrapText="1"/>
    </xf>
    <xf numFmtId="0" fontId="6" fillId="0" borderId="14" xfId="0" applyFont="1" applyBorder="1" applyAlignment="1">
      <alignment horizontal="center" vertical="center"/>
    </xf>
    <xf numFmtId="0" fontId="33" fillId="6" borderId="15" xfId="0" applyFont="1" applyFill="1" applyBorder="1" applyAlignment="1">
      <alignment horizontal="center" vertical="center"/>
    </xf>
    <xf numFmtId="0" fontId="33" fillId="6" borderId="16" xfId="0" applyFont="1" applyFill="1" applyBorder="1" applyAlignment="1">
      <alignment horizontal="center" vertical="center"/>
    </xf>
    <xf numFmtId="0" fontId="33" fillId="6" borderId="17" xfId="0" applyFont="1" applyFill="1" applyBorder="1" applyAlignment="1">
      <alignment horizontal="center" vertical="center"/>
    </xf>
    <xf numFmtId="164" fontId="4" fillId="0" borderId="0" xfId="2" applyFont="1" applyAlignment="1">
      <alignment horizontal="left" vertical="top" wrapText="1"/>
    </xf>
    <xf numFmtId="0" fontId="2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34" fillId="6" borderId="5" xfId="0" applyFont="1" applyFill="1" applyBorder="1" applyAlignment="1">
      <alignment horizontal="center" vertical="center"/>
    </xf>
    <xf numFmtId="0" fontId="34" fillId="6" borderId="14" xfId="0" applyFont="1" applyFill="1" applyBorder="1" applyAlignment="1">
      <alignment horizontal="center" vertical="center"/>
    </xf>
    <xf numFmtId="0" fontId="34" fillId="6" borderId="6" xfId="0" applyFont="1" applyFill="1" applyBorder="1" applyAlignment="1">
      <alignment horizontal="center" vertical="center"/>
    </xf>
    <xf numFmtId="0" fontId="34" fillId="6" borderId="7" xfId="0" applyFont="1" applyFill="1" applyBorder="1" applyAlignment="1">
      <alignment horizontal="center" vertical="center"/>
    </xf>
    <xf numFmtId="0" fontId="34" fillId="6" borderId="13" xfId="0" applyFont="1" applyFill="1" applyBorder="1" applyAlignment="1">
      <alignment horizontal="center" vertical="center"/>
    </xf>
    <xf numFmtId="0" fontId="34" fillId="6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wrapText="1"/>
    </xf>
    <xf numFmtId="0" fontId="0" fillId="0" borderId="9" xfId="0" applyBorder="1"/>
    <xf numFmtId="0" fontId="7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0" fillId="0" borderId="9" xfId="0" applyBorder="1" applyAlignment="1">
      <alignment wrapText="1"/>
    </xf>
    <xf numFmtId="0" fontId="2" fillId="0" borderId="9" xfId="0" applyFont="1" applyBorder="1" applyAlignment="1">
      <alignment horizontal="center" wrapText="1"/>
    </xf>
  </cellXfs>
  <cellStyles count="3">
    <cellStyle name="Hyperlink 2" xfId="1" xr:uid="{00000000-0005-0000-0000-000000000000}"/>
    <cellStyle name="Normal" xfId="0" builtinId="0"/>
    <cellStyle name="Normal_Farrow-Wean 500" xfId="2" xr:uid="{00000000-0005-0000-0000-000002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gov.mb.ca/agriculture/farm-management/farm-business-management-contacts.html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gov.mb.ca/agriculture/farm-management/farm-business-management-contacts.htm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0</xdr:row>
      <xdr:rowOff>182880</xdr:rowOff>
    </xdr:from>
    <xdr:to>
      <xdr:col>3</xdr:col>
      <xdr:colOff>800100</xdr:colOff>
      <xdr:row>1</xdr:row>
      <xdr:rowOff>121920</xdr:rowOff>
    </xdr:to>
    <xdr:pic>
      <xdr:nvPicPr>
        <xdr:cNvPr id="1235" name="Picture 2" descr="Manitoba Government Logo. 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0960" y="182880"/>
          <a:ext cx="155448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89</xdr:row>
      <xdr:rowOff>57150</xdr:rowOff>
    </xdr:from>
    <xdr:to>
      <xdr:col>2</xdr:col>
      <xdr:colOff>176792</xdr:colOff>
      <xdr:row>94</xdr:row>
      <xdr:rowOff>78581</xdr:rowOff>
    </xdr:to>
    <xdr:pic>
      <xdr:nvPicPr>
        <xdr:cNvPr id="5" name="Picture 4" descr="Farm Management Contact info. ">
          <a:hlinkClick xmlns:r="http://schemas.openxmlformats.org/officeDocument/2006/relationships" r:id="rId2" tooltip="Click here for a list of Farm Management contacts.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5706725"/>
          <a:ext cx="3729617" cy="8310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731520</xdr:colOff>
      <xdr:row>0</xdr:row>
      <xdr:rowOff>167640</xdr:rowOff>
    </xdr:from>
    <xdr:to>
      <xdr:col>5</xdr:col>
      <xdr:colOff>15240</xdr:colOff>
      <xdr:row>1</xdr:row>
      <xdr:rowOff>106680</xdr:rowOff>
    </xdr:to>
    <xdr:pic>
      <xdr:nvPicPr>
        <xdr:cNvPr id="2101" name="Picture 2" descr="Manitoba Government Logo. ">
          <a:extLst>
            <a:ext uri="{FF2B5EF4-FFF2-40B4-BE49-F238E27FC236}">
              <a16:creationId xmlns:a16="http://schemas.microsoft.com/office/drawing/2014/main" id="{00000000-0008-0000-0100-00003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9240" y="167640"/>
          <a:ext cx="15697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82</xdr:row>
      <xdr:rowOff>66675</xdr:rowOff>
    </xdr:from>
    <xdr:to>
      <xdr:col>2</xdr:col>
      <xdr:colOff>374912</xdr:colOff>
      <xdr:row>87</xdr:row>
      <xdr:rowOff>88106</xdr:rowOff>
    </xdr:to>
    <xdr:pic>
      <xdr:nvPicPr>
        <xdr:cNvPr id="4" name="Picture 3" descr="Farm Management Contact Info.  ">
          <a:hlinkClick xmlns:r="http://schemas.openxmlformats.org/officeDocument/2006/relationships" r:id="rId2" tooltip="Click here for a list of Farm Management contacts.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6563975"/>
          <a:ext cx="3729617" cy="831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9"/>
  <sheetViews>
    <sheetView tabSelected="1" zoomScaleNormal="100" workbookViewId="0"/>
  </sheetViews>
  <sheetFormatPr defaultColWidth="9.08984375" defaultRowHeight="12.5" x14ac:dyDescent="0.25"/>
  <cols>
    <col min="1" max="1" width="42.08984375" style="42" bestFit="1" customWidth="1"/>
    <col min="2" max="4" width="12.6328125" style="42" customWidth="1"/>
    <col min="5" max="5" width="9.08984375" style="42"/>
    <col min="6" max="6" width="9.08984375" style="42" hidden="1" customWidth="1"/>
    <col min="7" max="16384" width="9.08984375" style="42"/>
  </cols>
  <sheetData>
    <row r="1" spans="1:9" ht="28.5" customHeight="1" x14ac:dyDescent="0.25">
      <c r="A1" s="115"/>
      <c r="B1" s="115"/>
      <c r="C1" s="115"/>
      <c r="D1" s="115"/>
      <c r="E1" s="115"/>
      <c r="F1" s="115"/>
      <c r="G1" s="115"/>
      <c r="H1" s="115"/>
    </row>
    <row r="2" spans="1:9" ht="25.5" customHeight="1" x14ac:dyDescent="0.25">
      <c r="A2" s="116" t="s">
        <v>96</v>
      </c>
      <c r="F2" s="117"/>
    </row>
    <row r="3" spans="1:9" customFormat="1" ht="18" x14ac:dyDescent="0.4">
      <c r="A3" s="118" t="s">
        <v>95</v>
      </c>
      <c r="B3" s="119"/>
      <c r="C3" s="120" t="s">
        <v>93</v>
      </c>
      <c r="D3" s="121">
        <f ca="1">TODAY()</f>
        <v>45842</v>
      </c>
      <c r="F3" s="121"/>
      <c r="H3" s="120"/>
      <c r="I3" s="122"/>
    </row>
    <row r="4" spans="1:9" customFormat="1" ht="12.75" customHeight="1" x14ac:dyDescent="0.4">
      <c r="A4" s="118"/>
      <c r="B4" s="119"/>
      <c r="C4" s="119"/>
      <c r="D4" s="120"/>
      <c r="E4" s="121"/>
      <c r="F4" s="121"/>
      <c r="H4" s="120"/>
      <c r="I4" s="122"/>
    </row>
    <row r="5" spans="1:9" customFormat="1" ht="15" customHeight="1" x14ac:dyDescent="0.45">
      <c r="A5" s="43" t="s">
        <v>94</v>
      </c>
      <c r="B5" s="42"/>
      <c r="D5" s="123"/>
    </row>
    <row r="6" spans="1:9" ht="8.25" customHeight="1" thickBot="1" x14ac:dyDescent="0.3"/>
    <row r="7" spans="1:9" ht="9" customHeight="1" thickBot="1" x14ac:dyDescent="0.3">
      <c r="A7" s="167"/>
      <c r="B7" s="167"/>
      <c r="C7" s="167"/>
      <c r="D7" s="167"/>
    </row>
    <row r="8" spans="1:9" ht="20.25" customHeight="1" x14ac:dyDescent="0.25">
      <c r="A8" s="140" t="str">
        <f>IF(C10&gt;0,IF(C12&gt;0,"Page Wire Fence with optional top wires",IF(C14&gt;0,"Page Wire with Optional top wires","Page Wire Fence")),IF(C12&gt;0,IF(C14&gt;0,"Barbed Wire &amp; Electric Wire Fence","Barbed Wire Fence"),"Electric Wire Fence"))</f>
        <v>Page Wire Fence with optional top wires</v>
      </c>
      <c r="B8" s="141"/>
      <c r="C8" s="141"/>
      <c r="D8" s="142"/>
    </row>
    <row r="9" spans="1:9" ht="14" x14ac:dyDescent="0.25">
      <c r="A9" s="143" t="s">
        <v>26</v>
      </c>
      <c r="B9" s="144"/>
      <c r="C9" s="59">
        <v>16</v>
      </c>
      <c r="D9" s="60"/>
    </row>
    <row r="10" spans="1:9" ht="14" x14ac:dyDescent="0.25">
      <c r="A10" s="143" t="s">
        <v>53</v>
      </c>
      <c r="B10" s="144"/>
      <c r="C10" s="59">
        <v>1</v>
      </c>
      <c r="D10" s="60"/>
    </row>
    <row r="11" spans="1:9" ht="14" x14ac:dyDescent="0.25">
      <c r="A11" s="143" t="s">
        <v>38</v>
      </c>
      <c r="B11" s="144"/>
      <c r="C11" s="59">
        <v>660</v>
      </c>
      <c r="D11" s="60"/>
    </row>
    <row r="12" spans="1:9" ht="14" x14ac:dyDescent="0.25">
      <c r="A12" s="143" t="s">
        <v>39</v>
      </c>
      <c r="B12" s="144"/>
      <c r="C12" s="59">
        <v>1</v>
      </c>
      <c r="D12" s="60"/>
    </row>
    <row r="13" spans="1:9" ht="14" x14ac:dyDescent="0.25">
      <c r="A13" s="143" t="s">
        <v>41</v>
      </c>
      <c r="B13" s="144"/>
      <c r="C13" s="74">
        <v>1320</v>
      </c>
      <c r="D13" s="60"/>
    </row>
    <row r="14" spans="1:9" ht="14" x14ac:dyDescent="0.25">
      <c r="A14" s="143" t="s">
        <v>40</v>
      </c>
      <c r="B14" s="144"/>
      <c r="C14" s="59">
        <v>0</v>
      </c>
      <c r="D14" s="60"/>
    </row>
    <row r="15" spans="1:9" ht="14" x14ac:dyDescent="0.25">
      <c r="A15" s="143" t="s">
        <v>46</v>
      </c>
      <c r="B15" s="144"/>
      <c r="C15" s="74">
        <v>3960</v>
      </c>
      <c r="D15" s="60"/>
    </row>
    <row r="16" spans="1:9" ht="13" x14ac:dyDescent="0.25">
      <c r="A16" s="64"/>
      <c r="B16" s="65" t="s">
        <v>0</v>
      </c>
      <c r="C16" s="65" t="s">
        <v>27</v>
      </c>
      <c r="D16" s="66" t="s">
        <v>13</v>
      </c>
    </row>
    <row r="17" spans="1:4" ht="13" x14ac:dyDescent="0.25">
      <c r="A17" s="50" t="str">
        <f>"Posts - "&amp;TEXT((C9),"0")&amp; " ft spacing"</f>
        <v>Posts - 16 ft spacing</v>
      </c>
      <c r="B17" s="43">
        <f>ROUND(5280/C9,0)</f>
        <v>330</v>
      </c>
      <c r="C17" s="44">
        <v>7.5</v>
      </c>
      <c r="D17" s="54">
        <f t="shared" ref="D17:D22" si="0">PRODUCT(B17:C17)</f>
        <v>2475</v>
      </c>
    </row>
    <row r="18" spans="1:4" ht="13" x14ac:dyDescent="0.25">
      <c r="A18" s="53" t="str">
        <f>"Page Wire ("&amp;TEXT((C11),"0")&amp;" ft per roll)"</f>
        <v>Page Wire (660 ft per roll)</v>
      </c>
      <c r="B18" s="43">
        <f>ROUND(((5280)/C11)*C10,1)</f>
        <v>8</v>
      </c>
      <c r="C18" s="44">
        <v>899</v>
      </c>
      <c r="D18" s="54">
        <f t="shared" si="0"/>
        <v>7192</v>
      </c>
    </row>
    <row r="19" spans="1:4" ht="13" x14ac:dyDescent="0.25">
      <c r="A19" s="53" t="s">
        <v>51</v>
      </c>
      <c r="B19" s="71">
        <v>2</v>
      </c>
      <c r="C19" s="73">
        <f>$B$82*$B$19*2/B19</f>
        <v>92</v>
      </c>
      <c r="D19" s="54">
        <f>PRODUCT(B19:C19)</f>
        <v>184</v>
      </c>
    </row>
    <row r="20" spans="1:4" ht="13" x14ac:dyDescent="0.25">
      <c r="A20" s="53" t="s">
        <v>52</v>
      </c>
      <c r="B20" s="71">
        <v>2</v>
      </c>
      <c r="C20" s="73">
        <f>$B$82*$B$20*2/B20</f>
        <v>92</v>
      </c>
      <c r="D20" s="54">
        <f>PRODUCT(B20:C20)</f>
        <v>184</v>
      </c>
    </row>
    <row r="21" spans="1:4" ht="13" x14ac:dyDescent="0.25">
      <c r="A21" s="53" t="str">
        <f>"Wire - barb ("&amp;TEXT((C13),"0")&amp;" ft per roll)"</f>
        <v>Wire - barb (1320 ft per roll)</v>
      </c>
      <c r="B21" s="43">
        <f>ROUND((5280*C12)/C13,1)</f>
        <v>4</v>
      </c>
      <c r="C21" s="44">
        <v>149</v>
      </c>
      <c r="D21" s="54">
        <f t="shared" si="0"/>
        <v>596</v>
      </c>
    </row>
    <row r="22" spans="1:4" ht="13" x14ac:dyDescent="0.25">
      <c r="A22" s="53" t="str">
        <f>"Wire - 12.5 gauge ("&amp;TEXT((C15),"0")&amp;") ft per roll"</f>
        <v>Wire - 12.5 gauge (3960) ft per roll</v>
      </c>
      <c r="B22" s="43">
        <f>ROUND((5280*C14)/C15,1)</f>
        <v>0</v>
      </c>
      <c r="C22" s="44">
        <v>199</v>
      </c>
      <c r="D22" s="54">
        <f t="shared" si="0"/>
        <v>0</v>
      </c>
    </row>
    <row r="23" spans="1:4" ht="13" x14ac:dyDescent="0.25">
      <c r="A23" s="50" t="s">
        <v>1</v>
      </c>
      <c r="B23" s="43">
        <f>B17*C14</f>
        <v>0</v>
      </c>
      <c r="C23" s="44">
        <v>0.65</v>
      </c>
      <c r="D23" s="54">
        <f>PRODUCT(B23:C23)</f>
        <v>0</v>
      </c>
    </row>
    <row r="24" spans="1:4" ht="13" x14ac:dyDescent="0.25">
      <c r="A24" s="50" t="s">
        <v>2</v>
      </c>
      <c r="B24" s="43">
        <f>IF(C14&gt;0,((C14*B19)+(C14*B20)),0)</f>
        <v>0</v>
      </c>
      <c r="C24" s="44">
        <v>4</v>
      </c>
      <c r="D24" s="54">
        <f>PRODUCT(B24:C24)</f>
        <v>0</v>
      </c>
    </row>
    <row r="25" spans="1:4" ht="13" x14ac:dyDescent="0.25">
      <c r="A25" s="50" t="s">
        <v>3</v>
      </c>
      <c r="B25" s="43">
        <f>IF(C14&gt;0,((C14*B19)+(C14*B20)),0)</f>
        <v>0</v>
      </c>
      <c r="C25" s="44">
        <v>4</v>
      </c>
      <c r="D25" s="54">
        <f>PRODUCT(B25:C25)</f>
        <v>0</v>
      </c>
    </row>
    <row r="26" spans="1:4" ht="13" x14ac:dyDescent="0.25">
      <c r="A26" s="50" t="s">
        <v>4</v>
      </c>
      <c r="B26" s="71">
        <v>1</v>
      </c>
      <c r="C26" s="44">
        <v>90</v>
      </c>
      <c r="D26" s="54">
        <f>PRODUCT(B26:C26)</f>
        <v>90</v>
      </c>
    </row>
    <row r="27" spans="1:4" x14ac:dyDescent="0.25">
      <c r="A27" s="55" t="s">
        <v>5</v>
      </c>
      <c r="D27" s="52"/>
    </row>
    <row r="28" spans="1:4" ht="15" customHeight="1" x14ac:dyDescent="0.25">
      <c r="A28" s="157" t="s">
        <v>6</v>
      </c>
      <c r="B28" s="158"/>
      <c r="C28" s="158"/>
      <c r="D28" s="58">
        <f>SUM(D17:D27)</f>
        <v>10721</v>
      </c>
    </row>
    <row r="29" spans="1:4" ht="15" customHeight="1" thickBot="1" x14ac:dyDescent="0.3">
      <c r="A29" s="162" t="str">
        <f>"Page Wire - $"&amp;TEXT(D28,"#,###.##")&amp;" ÷ 5,280 ft per mile = $"&amp;TEXT((D28/5280),"0.00")&amp;" per foot"</f>
        <v>Page Wire - $10,721. ÷ 5,280 ft per mile = $2.03 per foot</v>
      </c>
      <c r="B29" s="163"/>
      <c r="C29" s="163"/>
      <c r="D29" s="164"/>
    </row>
    <row r="30" spans="1:4" ht="9" customHeight="1" thickBot="1" x14ac:dyDescent="0.3">
      <c r="A30" s="165"/>
      <c r="B30" s="165"/>
      <c r="C30" s="165"/>
      <c r="D30" s="165"/>
    </row>
    <row r="31" spans="1:4" ht="20.25" customHeight="1" x14ac:dyDescent="0.25">
      <c r="A31" s="140" t="s">
        <v>60</v>
      </c>
      <c r="B31" s="141"/>
      <c r="C31" s="141"/>
      <c r="D31" s="142"/>
    </row>
    <row r="32" spans="1:4" ht="14" x14ac:dyDescent="0.25">
      <c r="A32" s="143" t="s">
        <v>26</v>
      </c>
      <c r="B32" s="144"/>
      <c r="C32" s="59">
        <v>16</v>
      </c>
      <c r="D32" s="60"/>
    </row>
    <row r="33" spans="1:4" ht="14" x14ac:dyDescent="0.25">
      <c r="A33" s="143" t="s">
        <v>36</v>
      </c>
      <c r="B33" s="144"/>
      <c r="C33" s="59">
        <v>4</v>
      </c>
      <c r="D33" s="60"/>
    </row>
    <row r="34" spans="1:4" ht="14" x14ac:dyDescent="0.25">
      <c r="A34" s="143" t="s">
        <v>37</v>
      </c>
      <c r="B34" s="144"/>
      <c r="C34" s="74">
        <v>1320</v>
      </c>
      <c r="D34" s="60"/>
    </row>
    <row r="35" spans="1:4" ht="13" x14ac:dyDescent="0.25">
      <c r="A35" s="64"/>
      <c r="B35" s="65" t="s">
        <v>0</v>
      </c>
      <c r="C35" s="65" t="s">
        <v>27</v>
      </c>
      <c r="D35" s="66" t="s">
        <v>13</v>
      </c>
    </row>
    <row r="36" spans="1:4" ht="13" x14ac:dyDescent="0.25">
      <c r="A36" s="50" t="str">
        <f>"Posts - "&amp;TEXT((C32),"0")&amp; " ft spacing"</f>
        <v>Posts - 16 ft spacing</v>
      </c>
      <c r="B36" s="43">
        <f>ROUND(5280/C32,0)</f>
        <v>330</v>
      </c>
      <c r="C36" s="44">
        <v>7.5</v>
      </c>
      <c r="D36" s="54">
        <f>PRODUCT(B36:C36)</f>
        <v>2475</v>
      </c>
    </row>
    <row r="37" spans="1:4" ht="13" x14ac:dyDescent="0.25">
      <c r="A37" s="53" t="str">
        <f>"Wire - barb ("&amp;TEXT((C34),"0")&amp;" ft per roll)"</f>
        <v>Wire - barb (1320 ft per roll)</v>
      </c>
      <c r="B37" s="43">
        <f>ROUND(((5280*C33))/C34,1)</f>
        <v>16</v>
      </c>
      <c r="C37" s="44">
        <v>149</v>
      </c>
      <c r="D37" s="54">
        <f>PRODUCT(B37:C37)</f>
        <v>2384</v>
      </c>
    </row>
    <row r="38" spans="1:4" ht="13" x14ac:dyDescent="0.25">
      <c r="A38" s="53" t="s">
        <v>51</v>
      </c>
      <c r="B38" s="71">
        <v>2</v>
      </c>
      <c r="C38" s="73">
        <f>$B$82*B38*2/B38</f>
        <v>92</v>
      </c>
      <c r="D38" s="54">
        <f>PRODUCT(B38:C38)</f>
        <v>184</v>
      </c>
    </row>
    <row r="39" spans="1:4" ht="13" x14ac:dyDescent="0.25">
      <c r="A39" s="53" t="s">
        <v>52</v>
      </c>
      <c r="B39" s="71">
        <v>2</v>
      </c>
      <c r="C39" s="73">
        <f>$B$82*B39*2/B39</f>
        <v>92</v>
      </c>
      <c r="D39" s="54">
        <f>PRODUCT(B39:C39)</f>
        <v>184</v>
      </c>
    </row>
    <row r="40" spans="1:4" ht="13" x14ac:dyDescent="0.25">
      <c r="A40" s="50" t="s">
        <v>4</v>
      </c>
      <c r="B40" s="71">
        <v>2</v>
      </c>
      <c r="C40" s="44">
        <v>90</v>
      </c>
      <c r="D40" s="54">
        <f>PRODUCT(B40:C40)</f>
        <v>180</v>
      </c>
    </row>
    <row r="41" spans="1:4" x14ac:dyDescent="0.25">
      <c r="A41" s="55" t="s">
        <v>5</v>
      </c>
      <c r="D41" s="52"/>
    </row>
    <row r="42" spans="1:4" ht="15" customHeight="1" x14ac:dyDescent="0.25">
      <c r="A42" s="157" t="s">
        <v>6</v>
      </c>
      <c r="B42" s="158"/>
      <c r="C42" s="158"/>
      <c r="D42" s="58">
        <f>SUM(D36:D41)</f>
        <v>5407</v>
      </c>
    </row>
    <row r="43" spans="1:4" ht="15" customHeight="1" thickBot="1" x14ac:dyDescent="0.3">
      <c r="A43" s="162" t="str">
        <f>C33&amp;" Strand Barbed Wire - $"&amp;TEXT(D42,"#,###.##")&amp;" ÷ 5,280 ft per mile = $"&amp;TEXT((D42/5280),"0.00")&amp;" per foot"</f>
        <v>4 Strand Barbed Wire - $5,407. ÷ 5,280 ft per mile = $1.02 per foot</v>
      </c>
      <c r="B43" s="163"/>
      <c r="C43" s="163"/>
      <c r="D43" s="164"/>
    </row>
    <row r="44" spans="1:4" ht="9" customHeight="1" thickBot="1" x14ac:dyDescent="0.3">
      <c r="A44" s="165"/>
      <c r="B44" s="165"/>
      <c r="C44" s="165"/>
      <c r="D44" s="165"/>
    </row>
    <row r="45" spans="1:4" ht="20.25" customHeight="1" x14ac:dyDescent="0.25">
      <c r="A45" s="140" t="s">
        <v>61</v>
      </c>
      <c r="B45" s="141"/>
      <c r="C45" s="141"/>
      <c r="D45" s="142"/>
    </row>
    <row r="46" spans="1:4" ht="14" x14ac:dyDescent="0.25">
      <c r="A46" s="143" t="s">
        <v>26</v>
      </c>
      <c r="B46" s="144"/>
      <c r="C46" s="59">
        <v>40</v>
      </c>
      <c r="D46" s="60"/>
    </row>
    <row r="47" spans="1:4" ht="15" customHeight="1" x14ac:dyDescent="0.25">
      <c r="A47" s="143" t="s">
        <v>36</v>
      </c>
      <c r="B47" s="144"/>
      <c r="C47" s="59">
        <v>2</v>
      </c>
      <c r="D47" s="60"/>
    </row>
    <row r="48" spans="1:4" s="57" customFormat="1" ht="13" x14ac:dyDescent="0.25">
      <c r="A48" s="61"/>
      <c r="B48" s="145" t="s">
        <v>34</v>
      </c>
      <c r="C48" s="145"/>
      <c r="D48" s="62">
        <v>2</v>
      </c>
    </row>
    <row r="49" spans="1:4" s="57" customFormat="1" ht="13" x14ac:dyDescent="0.25">
      <c r="A49" s="61"/>
      <c r="B49" s="145" t="s">
        <v>35</v>
      </c>
      <c r="C49" s="145"/>
      <c r="D49" s="63">
        <f>C47-D48</f>
        <v>0</v>
      </c>
    </row>
    <row r="50" spans="1:4" s="56" customFormat="1" ht="12.75" customHeight="1" x14ac:dyDescent="0.25">
      <c r="A50" s="143" t="s">
        <v>37</v>
      </c>
      <c r="B50" s="144"/>
      <c r="C50" s="74">
        <v>3960</v>
      </c>
      <c r="D50" s="63"/>
    </row>
    <row r="51" spans="1:4" ht="13" x14ac:dyDescent="0.25">
      <c r="A51" s="64"/>
      <c r="B51" s="65" t="s">
        <v>0</v>
      </c>
      <c r="C51" s="65" t="s">
        <v>27</v>
      </c>
      <c r="D51" s="66" t="s">
        <v>13</v>
      </c>
    </row>
    <row r="52" spans="1:4" ht="13" x14ac:dyDescent="0.25">
      <c r="A52" s="50" t="str">
        <f>"Posts - "&amp;TEXT((C46),"0")&amp; " ft spacing"</f>
        <v>Posts - 40 ft spacing</v>
      </c>
      <c r="B52" s="43">
        <f>ROUND(5280/C46,0)</f>
        <v>132</v>
      </c>
      <c r="C52" s="44">
        <v>7.5</v>
      </c>
      <c r="D52" s="54">
        <f t="shared" ref="D52:D59" si="1">PRODUCT(B52:C52)</f>
        <v>990</v>
      </c>
    </row>
    <row r="53" spans="1:4" ht="13" x14ac:dyDescent="0.25">
      <c r="A53" s="53" t="str">
        <f>"Wire - 12.5 gauge ("&amp;TEXT((C50),"0")&amp;") ft per roll"</f>
        <v>Wire - 12.5 gauge (3960) ft per roll</v>
      </c>
      <c r="B53" s="43">
        <f>ROUND((5280*C47)/C50,1)</f>
        <v>2.7</v>
      </c>
      <c r="C53" s="44">
        <v>199</v>
      </c>
      <c r="D53" s="54">
        <f t="shared" si="1"/>
        <v>537.30000000000007</v>
      </c>
    </row>
    <row r="54" spans="1:4" ht="13" x14ac:dyDescent="0.25">
      <c r="A54" s="53" t="s">
        <v>51</v>
      </c>
      <c r="B54" s="71">
        <v>2</v>
      </c>
      <c r="C54" s="73">
        <f>$B$82*B54*2/B54</f>
        <v>92</v>
      </c>
      <c r="D54" s="54">
        <f>PRODUCT(B54:C54)</f>
        <v>184</v>
      </c>
    </row>
    <row r="55" spans="1:4" ht="13" x14ac:dyDescent="0.25">
      <c r="A55" s="53" t="s">
        <v>52</v>
      </c>
      <c r="B55" s="71">
        <v>2</v>
      </c>
      <c r="C55" s="73">
        <f>$B$82*B55*2/B55</f>
        <v>92</v>
      </c>
      <c r="D55" s="54">
        <f>PRODUCT(B55:C55)</f>
        <v>184</v>
      </c>
    </row>
    <row r="56" spans="1:4" ht="13" x14ac:dyDescent="0.25">
      <c r="A56" s="50" t="s">
        <v>1</v>
      </c>
      <c r="B56" s="43">
        <f>B52*D48</f>
        <v>264</v>
      </c>
      <c r="C56" s="44">
        <v>0.55000000000000004</v>
      </c>
      <c r="D56" s="54">
        <f t="shared" si="1"/>
        <v>145.20000000000002</v>
      </c>
    </row>
    <row r="57" spans="1:4" ht="13" x14ac:dyDescent="0.25">
      <c r="A57" s="50" t="s">
        <v>2</v>
      </c>
      <c r="B57" s="43">
        <f>SUM(D48*B54)+(D48*B55)</f>
        <v>8</v>
      </c>
      <c r="C57" s="44">
        <v>4</v>
      </c>
      <c r="D57" s="54">
        <f t="shared" si="1"/>
        <v>32</v>
      </c>
    </row>
    <row r="58" spans="1:4" ht="13" x14ac:dyDescent="0.25">
      <c r="A58" s="50" t="s">
        <v>3</v>
      </c>
      <c r="B58" s="43">
        <f>SUM(D48*B54)+(D48*B55)</f>
        <v>8</v>
      </c>
      <c r="C58" s="44">
        <v>4</v>
      </c>
      <c r="D58" s="54">
        <f t="shared" si="1"/>
        <v>32</v>
      </c>
    </row>
    <row r="59" spans="1:4" ht="13" x14ac:dyDescent="0.25">
      <c r="A59" s="50" t="s">
        <v>4</v>
      </c>
      <c r="B59" s="71">
        <v>1</v>
      </c>
      <c r="C59" s="44">
        <v>90</v>
      </c>
      <c r="D59" s="54">
        <f t="shared" si="1"/>
        <v>90</v>
      </c>
    </row>
    <row r="60" spans="1:4" x14ac:dyDescent="0.25">
      <c r="A60" s="55" t="s">
        <v>5</v>
      </c>
      <c r="D60" s="52"/>
    </row>
    <row r="61" spans="1:4" ht="15" customHeight="1" x14ac:dyDescent="0.25">
      <c r="A61" s="157" t="s">
        <v>6</v>
      </c>
      <c r="B61" s="158"/>
      <c r="C61" s="158"/>
      <c r="D61" s="58">
        <f>SUM(D52:D60)</f>
        <v>2194.5</v>
      </c>
    </row>
    <row r="62" spans="1:4" ht="15" customHeight="1" thickBot="1" x14ac:dyDescent="0.3">
      <c r="A62" s="162" t="str">
        <f>C47&amp;" Strand Electric Fence - $"&amp;TEXT(D61,"#,###.##")&amp;" ÷ 5,280 ft per mile = $"&amp;TEXT((D61/5280),"0.00")&amp;" per foot"</f>
        <v>2 Strand Electric Fence - $2,194.5 ÷ 5,280 ft per mile = $0.42 per foot</v>
      </c>
      <c r="B62" s="163"/>
      <c r="C62" s="163"/>
      <c r="D62" s="164"/>
    </row>
    <row r="63" spans="1:4" ht="9" customHeight="1" thickBot="1" x14ac:dyDescent="0.3">
      <c r="A63" s="139"/>
      <c r="B63" s="139"/>
      <c r="C63" s="139"/>
      <c r="D63" s="139"/>
    </row>
    <row r="64" spans="1:4" ht="20.25" customHeight="1" x14ac:dyDescent="0.25">
      <c r="A64" s="140" t="s">
        <v>42</v>
      </c>
      <c r="B64" s="141"/>
      <c r="C64" s="141"/>
      <c r="D64" s="142"/>
    </row>
    <row r="65" spans="1:7" ht="13.5" thickBot="1" x14ac:dyDescent="0.3">
      <c r="A65" s="154" t="s">
        <v>99</v>
      </c>
      <c r="B65" s="155"/>
      <c r="C65" s="155"/>
      <c r="D65" s="156"/>
      <c r="F65" s="42" t="str">
        <f>A8</f>
        <v>Page Wire Fence with optional top wires</v>
      </c>
    </row>
    <row r="66" spans="1:7" ht="13.5" thickBot="1" x14ac:dyDescent="0.3">
      <c r="A66" s="149" t="s">
        <v>102</v>
      </c>
      <c r="B66" s="150"/>
      <c r="C66" s="150"/>
      <c r="D66" s="151"/>
      <c r="F66" s="42" t="str">
        <f>A31</f>
        <v>Barbed Wire Fence</v>
      </c>
    </row>
    <row r="67" spans="1:7" ht="13" x14ac:dyDescent="0.25">
      <c r="A67" s="152" t="s">
        <v>33</v>
      </c>
      <c r="B67" s="153"/>
      <c r="C67" s="153"/>
      <c r="D67" s="89">
        <f>IF(A66=A8,D28,IF(A66=A31,D42,IF(A66=A45,D61)))</f>
        <v>10721</v>
      </c>
      <c r="F67" s="42" t="str">
        <f>A45</f>
        <v>Electric Wire Fence</v>
      </c>
    </row>
    <row r="68" spans="1:7" ht="13.5" thickBot="1" x14ac:dyDescent="0.3">
      <c r="A68" s="154" t="s">
        <v>100</v>
      </c>
      <c r="B68" s="155"/>
      <c r="C68" s="155"/>
      <c r="D68" s="156"/>
    </row>
    <row r="69" spans="1:7" ht="13.5" thickBot="1" x14ac:dyDescent="0.3">
      <c r="A69" s="149" t="s">
        <v>61</v>
      </c>
      <c r="B69" s="150"/>
      <c r="C69" s="150"/>
      <c r="D69" s="151"/>
    </row>
    <row r="70" spans="1:7" ht="13" x14ac:dyDescent="0.25">
      <c r="A70" s="152" t="s">
        <v>33</v>
      </c>
      <c r="B70" s="153"/>
      <c r="C70" s="153"/>
      <c r="D70" s="89">
        <f>IF(A69=A8,D28,IF(A69=A31,D42,IF(A69=A45,D61)))</f>
        <v>2194.5</v>
      </c>
    </row>
    <row r="71" spans="1:7" ht="15" customHeight="1" x14ac:dyDescent="0.25">
      <c r="A71" s="157" t="s">
        <v>6</v>
      </c>
      <c r="B71" s="158"/>
      <c r="C71" s="158"/>
      <c r="D71" s="58">
        <f>D67+D70</f>
        <v>12915.5</v>
      </c>
    </row>
    <row r="72" spans="1:7" ht="15" customHeight="1" thickBot="1" x14ac:dyDescent="0.3">
      <c r="A72" s="162" t="str">
        <f>"3D Fence - $"&amp;TEXT(D71,"#,###.##")&amp;" ÷ 5,280 ft per mile = $"&amp;TEXT((D71/5280),"0.00")&amp;" per foot"</f>
        <v>3D Fence - $12,915.5 ÷ 5,280 ft per mile = $2.45 per foot</v>
      </c>
      <c r="B72" s="163"/>
      <c r="C72" s="163"/>
      <c r="D72" s="164"/>
    </row>
    <row r="73" spans="1:7" ht="9" customHeight="1" thickBot="1" x14ac:dyDescent="0.3">
      <c r="A73" s="46"/>
      <c r="B73" s="46"/>
      <c r="C73" s="46"/>
      <c r="D73" s="46"/>
      <c r="G73" s="45"/>
    </row>
    <row r="74" spans="1:7" ht="20.25" customHeight="1" thickBot="1" x14ac:dyDescent="0.3">
      <c r="A74" s="140" t="s">
        <v>50</v>
      </c>
      <c r="B74" s="141"/>
      <c r="C74" s="141"/>
      <c r="D74" s="142"/>
    </row>
    <row r="75" spans="1:7" ht="13.5" thickBot="1" x14ac:dyDescent="0.3">
      <c r="A75" s="67" t="s">
        <v>47</v>
      </c>
      <c r="B75" s="47">
        <v>12</v>
      </c>
      <c r="C75" s="48"/>
      <c r="D75" s="49"/>
    </row>
    <row r="76" spans="1:7" ht="13.5" thickBot="1" x14ac:dyDescent="0.3">
      <c r="A76" s="53" t="s">
        <v>48</v>
      </c>
      <c r="B76" s="72">
        <v>2</v>
      </c>
      <c r="D76" s="52"/>
      <c r="F76" s="90">
        <v>2</v>
      </c>
    </row>
    <row r="77" spans="1:7" ht="13" x14ac:dyDescent="0.25">
      <c r="A77" s="53" t="s">
        <v>43</v>
      </c>
      <c r="B77" s="51">
        <v>12</v>
      </c>
      <c r="D77" s="52"/>
      <c r="F77" s="90">
        <v>3</v>
      </c>
    </row>
    <row r="78" spans="1:7" ht="13" x14ac:dyDescent="0.25">
      <c r="A78" s="53" t="s">
        <v>54</v>
      </c>
      <c r="B78" s="43">
        <f>IF(B76=2,1,2)</f>
        <v>1</v>
      </c>
      <c r="D78" s="52"/>
    </row>
    <row r="79" spans="1:7" ht="13" x14ac:dyDescent="0.25">
      <c r="A79" s="53" t="s">
        <v>45</v>
      </c>
      <c r="B79" s="44">
        <v>10</v>
      </c>
      <c r="D79" s="54"/>
    </row>
    <row r="80" spans="1:7" x14ac:dyDescent="0.25">
      <c r="A80" s="55" t="s">
        <v>44</v>
      </c>
      <c r="D80" s="52"/>
    </row>
    <row r="81" spans="1:11" ht="13" x14ac:dyDescent="0.25">
      <c r="A81" s="53"/>
      <c r="B81" s="43"/>
      <c r="D81" s="52"/>
    </row>
    <row r="82" spans="1:11" ht="13.5" thickBot="1" x14ac:dyDescent="0.3">
      <c r="A82" s="80" t="s">
        <v>49</v>
      </c>
      <c r="B82" s="81">
        <f>(B75*B76)+(B77*B78)+B79</f>
        <v>46</v>
      </c>
      <c r="C82" s="69"/>
      <c r="D82" s="82"/>
    </row>
    <row r="83" spans="1:11" ht="9" customHeight="1" thickBot="1" x14ac:dyDescent="0.3">
      <c r="B83" s="51"/>
    </row>
    <row r="84" spans="1:11" ht="20.25" customHeight="1" thickBot="1" x14ac:dyDescent="0.3">
      <c r="A84" s="159" t="s">
        <v>30</v>
      </c>
      <c r="B84" s="160"/>
      <c r="C84" s="160"/>
      <c r="D84" s="161"/>
    </row>
    <row r="85" spans="1:11" ht="13.5" thickBot="1" x14ac:dyDescent="0.3">
      <c r="A85" s="146" t="s">
        <v>55</v>
      </c>
      <c r="B85" s="147"/>
      <c r="C85" s="147"/>
      <c r="D85" s="148"/>
    </row>
    <row r="86" spans="1:11" ht="9" customHeight="1" x14ac:dyDescent="0.25"/>
    <row r="87" spans="1:11" s="133" customFormat="1" ht="14.25" customHeight="1" x14ac:dyDescent="0.35">
      <c r="A87" s="166" t="s">
        <v>101</v>
      </c>
      <c r="B87" s="166"/>
      <c r="C87" s="166"/>
      <c r="D87" s="166"/>
      <c r="E87" s="134"/>
      <c r="F87" s="134"/>
      <c r="G87" s="134"/>
      <c r="H87" s="134"/>
      <c r="I87" s="134"/>
      <c r="J87" s="134"/>
      <c r="K87" s="134"/>
    </row>
    <row r="88" spans="1:11" s="133" customFormat="1" ht="14.25" customHeight="1" x14ac:dyDescent="0.35">
      <c r="A88" s="166"/>
      <c r="B88" s="166"/>
      <c r="C88" s="166"/>
      <c r="D88" s="166"/>
      <c r="E88" s="134"/>
      <c r="F88" s="134"/>
      <c r="G88" s="134"/>
      <c r="H88" s="134"/>
      <c r="I88" s="134"/>
      <c r="J88" s="134"/>
      <c r="K88" s="134"/>
    </row>
    <row r="89" spans="1:11" customFormat="1" ht="12.75" customHeight="1" x14ac:dyDescent="0.3">
      <c r="A89" s="1"/>
      <c r="B89" s="1"/>
      <c r="C89" s="1"/>
      <c r="D89" s="138" t="s">
        <v>103</v>
      </c>
    </row>
  </sheetData>
  <sheetProtection algorithmName="SHA-512" hashValue="5QR4GsJ9N/Irm5kSHpkLrTjO5Gv1Q8C94NTNR3SzohnRAgkQGAptgmSs2gRAEMF2pCvYZuBTPVUf5rYkEbeViQ==" saltValue="ty2nyp43mnvXzrsxO0cxqg==" spinCount="100000" sheet="1" objects="1" scenarios="1"/>
  <mergeCells count="41">
    <mergeCell ref="A87:D88"/>
    <mergeCell ref="A7:D7"/>
    <mergeCell ref="A47:B47"/>
    <mergeCell ref="A10:B10"/>
    <mergeCell ref="A8:D8"/>
    <mergeCell ref="A31:D31"/>
    <mergeCell ref="A14:B14"/>
    <mergeCell ref="A9:B9"/>
    <mergeCell ref="A12:B12"/>
    <mergeCell ref="A32:B32"/>
    <mergeCell ref="A33:B33"/>
    <mergeCell ref="A29:D29"/>
    <mergeCell ref="A11:B11"/>
    <mergeCell ref="A13:B13"/>
    <mergeCell ref="A30:D30"/>
    <mergeCell ref="A43:D43"/>
    <mergeCell ref="A15:B15"/>
    <mergeCell ref="A70:C70"/>
    <mergeCell ref="A71:C71"/>
    <mergeCell ref="A66:D66"/>
    <mergeCell ref="A84:D84"/>
    <mergeCell ref="A72:D72"/>
    <mergeCell ref="A74:D74"/>
    <mergeCell ref="A42:C42"/>
    <mergeCell ref="A28:C28"/>
    <mergeCell ref="A34:B34"/>
    <mergeCell ref="A62:D62"/>
    <mergeCell ref="B49:C49"/>
    <mergeCell ref="A44:D44"/>
    <mergeCell ref="A61:C61"/>
    <mergeCell ref="A50:B50"/>
    <mergeCell ref="A64:D64"/>
    <mergeCell ref="A63:D63"/>
    <mergeCell ref="A45:D45"/>
    <mergeCell ref="A46:B46"/>
    <mergeCell ref="B48:C48"/>
    <mergeCell ref="A85:D85"/>
    <mergeCell ref="A69:D69"/>
    <mergeCell ref="A67:C67"/>
    <mergeCell ref="A68:D68"/>
    <mergeCell ref="A65:D65"/>
  </mergeCells>
  <phoneticPr fontId="1" type="noConversion"/>
  <conditionalFormatting sqref="D67 D70">
    <cfRule type="cellIs" dxfId="0" priority="2" stopIfTrue="1" operator="equal">
      <formula>FALSE</formula>
    </cfRule>
  </conditionalFormatting>
  <dataValidations count="3">
    <dataValidation type="list" allowBlank="1" showInputMessage="1" showErrorMessage="1" promptTitle="Select:" prompt="(desired secondary fence type)" sqref="A69:D69" xr:uid="{00000000-0002-0000-0000-000000000000}">
      <formula1>$F$66:$F$67</formula1>
    </dataValidation>
    <dataValidation type="list" allowBlank="1" showInputMessage="1" showErrorMessage="1" promptTitle="Select:" prompt="(desired primary fence type)" sqref="A66:D66" xr:uid="{00000000-0002-0000-0000-000001000000}">
      <formula1>$F$65:$F$67</formula1>
    </dataValidation>
    <dataValidation type="list" allowBlank="1" showInputMessage="1" showErrorMessage="1" sqref="B76" xr:uid="{00000000-0002-0000-0000-000002000000}">
      <formula1>$F$76:$F$77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fitToHeight="2" orientation="portrait" r:id="rId1"/>
  <headerFooter alignWithMargins="0">
    <oddHeader>&amp;R&amp;P</oddHeader>
  </headerFooter>
  <rowBreaks count="1" manualBreakCount="1">
    <brk id="44" max="16383" man="1"/>
  </rowBreaks>
  <ignoredErrors>
    <ignoredError sqref="D4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2"/>
  <sheetViews>
    <sheetView zoomScaleNormal="100" workbookViewId="0"/>
  </sheetViews>
  <sheetFormatPr defaultRowHeight="12.5" x14ac:dyDescent="0.25"/>
  <cols>
    <col min="1" max="1" width="30.6328125" customWidth="1"/>
    <col min="2" max="2" width="21" customWidth="1"/>
    <col min="3" max="5" width="16.6328125" customWidth="1"/>
    <col min="6" max="6" width="12.6328125" customWidth="1"/>
  </cols>
  <sheetData>
    <row r="1" spans="1:9" s="42" customFormat="1" ht="28.5" customHeight="1" x14ac:dyDescent="0.25">
      <c r="A1" s="115"/>
      <c r="B1" s="115"/>
      <c r="C1" s="115"/>
      <c r="D1" s="115"/>
      <c r="E1" s="115"/>
      <c r="F1" s="115"/>
      <c r="G1" s="115"/>
      <c r="H1" s="115"/>
    </row>
    <row r="2" spans="1:9" s="42" customFormat="1" ht="25.5" customHeight="1" x14ac:dyDescent="0.25">
      <c r="A2" s="116" t="s">
        <v>92</v>
      </c>
      <c r="F2" s="117"/>
    </row>
    <row r="3" spans="1:9" ht="18" x14ac:dyDescent="0.4">
      <c r="A3" s="118" t="s">
        <v>95</v>
      </c>
      <c r="B3" s="119"/>
      <c r="D3" s="120" t="s">
        <v>93</v>
      </c>
      <c r="E3" s="121">
        <f ca="1">TODAY()</f>
        <v>45842</v>
      </c>
      <c r="H3" s="120"/>
      <c r="I3" s="122"/>
    </row>
    <row r="4" spans="1:9" ht="12.75" customHeight="1" x14ac:dyDescent="0.4">
      <c r="A4" s="118"/>
      <c r="B4" s="119"/>
      <c r="C4" s="119"/>
      <c r="D4" s="120"/>
      <c r="E4" s="121"/>
      <c r="F4" s="121"/>
      <c r="H4" s="120"/>
      <c r="I4" s="122"/>
    </row>
    <row r="5" spans="1:9" ht="15" customHeight="1" x14ac:dyDescent="0.45">
      <c r="A5" s="43" t="s">
        <v>94</v>
      </c>
      <c r="B5" s="42"/>
      <c r="D5" s="123"/>
    </row>
    <row r="6" spans="1:9" ht="13" thickBot="1" x14ac:dyDescent="0.3"/>
    <row r="7" spans="1:9" ht="18.75" customHeight="1" x14ac:dyDescent="0.25">
      <c r="A7" s="174" t="s">
        <v>57</v>
      </c>
      <c r="B7" s="175"/>
      <c r="C7" s="175"/>
      <c r="D7" s="175"/>
      <c r="E7" s="176"/>
    </row>
    <row r="8" spans="1:9" ht="18.75" customHeight="1" thickBot="1" x14ac:dyDescent="0.3">
      <c r="A8" s="177"/>
      <c r="B8" s="178"/>
      <c r="C8" s="178"/>
      <c r="D8" s="178"/>
      <c r="E8" s="179"/>
    </row>
    <row r="9" spans="1:9" ht="7.5" customHeight="1" x14ac:dyDescent="0.25">
      <c r="A9" s="182"/>
      <c r="B9" s="182"/>
      <c r="C9" s="182"/>
      <c r="D9" s="182"/>
      <c r="E9" s="182"/>
    </row>
    <row r="10" spans="1:9" s="76" customFormat="1" ht="12.75" customHeight="1" x14ac:dyDescent="0.25">
      <c r="A10" s="85" t="s">
        <v>56</v>
      </c>
      <c r="D10" s="85" t="s">
        <v>58</v>
      </c>
      <c r="E10" s="75"/>
    </row>
    <row r="11" spans="1:9" s="76" customFormat="1" ht="12.75" customHeight="1" x14ac:dyDescent="0.25">
      <c r="A11" s="77" t="s">
        <v>64</v>
      </c>
      <c r="D11" s="91">
        <v>0.5</v>
      </c>
      <c r="E11" s="75"/>
    </row>
    <row r="12" spans="1:9" s="76" customFormat="1" ht="12.75" customHeight="1" x14ac:dyDescent="0.25">
      <c r="A12" s="77" t="s">
        <v>65</v>
      </c>
      <c r="D12" s="91">
        <v>16.5</v>
      </c>
      <c r="E12" s="75" t="str">
        <f>"("&amp;ROUND((D12*60)/'Fence Cost'!B17,1)&amp;" min/post)"</f>
        <v>(3 min/post)</v>
      </c>
    </row>
    <row r="13" spans="1:9" s="76" customFormat="1" ht="12.75" customHeight="1" x14ac:dyDescent="0.25">
      <c r="A13" s="77" t="s">
        <v>66</v>
      </c>
      <c r="D13" s="92">
        <v>1</v>
      </c>
      <c r="E13" s="75"/>
    </row>
    <row r="14" spans="1:9" s="76" customFormat="1" ht="12.75" customHeight="1" x14ac:dyDescent="0.25">
      <c r="A14" s="77" t="s">
        <v>67</v>
      </c>
      <c r="D14" s="92">
        <v>0.5</v>
      </c>
      <c r="E14" s="75"/>
    </row>
    <row r="15" spans="1:9" s="76" customFormat="1" ht="12.75" customHeight="1" x14ac:dyDescent="0.25">
      <c r="A15" s="77" t="s">
        <v>68</v>
      </c>
      <c r="D15" s="93">
        <v>5.0000000000000001E-3</v>
      </c>
      <c r="E15" s="75" t="str">
        <f>"("&amp;ROUND(D15*60,2)&amp;" min/post/strand)"</f>
        <v>(0.3 min/post/strand)</v>
      </c>
    </row>
    <row r="16" spans="1:9" s="76" customFormat="1" ht="12.75" customHeight="1" x14ac:dyDescent="0.25">
      <c r="A16" s="77" t="s">
        <v>69</v>
      </c>
      <c r="D16" s="93">
        <v>0.03</v>
      </c>
      <c r="E16" s="75" t="str">
        <f>"("&amp;ROUND(D16*60,2)&amp;" min/post)"</f>
        <v>(1.8 min/post)</v>
      </c>
    </row>
    <row r="17" spans="1:6" s="76" customFormat="1" ht="12.75" customHeight="1" x14ac:dyDescent="0.25">
      <c r="A17" s="77" t="s">
        <v>70</v>
      </c>
      <c r="D17" s="93">
        <v>0.04</v>
      </c>
      <c r="E17" s="75" t="str">
        <f>"("&amp;ROUND(D17*60,2)&amp;" min/post)"</f>
        <v>(2.4 min/post)</v>
      </c>
    </row>
    <row r="18" spans="1:6" s="76" customFormat="1" ht="12.75" customHeight="1" x14ac:dyDescent="0.25">
      <c r="A18" s="75"/>
      <c r="B18" s="75"/>
      <c r="C18" s="75"/>
      <c r="D18" s="75"/>
      <c r="E18" s="75"/>
    </row>
    <row r="19" spans="1:6" s="76" customFormat="1" ht="12.75" customHeight="1" x14ac:dyDescent="0.25">
      <c r="A19" s="75" t="s">
        <v>80</v>
      </c>
      <c r="B19" s="44">
        <v>27</v>
      </c>
      <c r="C19" s="75"/>
      <c r="D19" s="75"/>
      <c r="E19" s="75"/>
    </row>
    <row r="20" spans="1:6" s="76" customFormat="1" ht="12.75" customHeight="1" x14ac:dyDescent="0.25">
      <c r="A20" s="75" t="s">
        <v>83</v>
      </c>
      <c r="B20" s="78">
        <v>2</v>
      </c>
      <c r="C20" s="75"/>
      <c r="D20" s="75"/>
      <c r="E20" s="75"/>
    </row>
    <row r="21" spans="1:6" s="76" customFormat="1" ht="12.75" customHeight="1" x14ac:dyDescent="0.25">
      <c r="A21" s="75" t="s">
        <v>81</v>
      </c>
      <c r="B21" s="44">
        <v>75</v>
      </c>
      <c r="C21" s="75"/>
      <c r="D21" s="75"/>
      <c r="E21" s="75"/>
    </row>
    <row r="22" spans="1:6" s="76" customFormat="1" ht="12.75" customHeight="1" x14ac:dyDescent="0.25">
      <c r="A22" s="75" t="s">
        <v>82</v>
      </c>
      <c r="B22" s="44">
        <v>25</v>
      </c>
      <c r="C22" s="75"/>
      <c r="D22" s="75"/>
      <c r="E22" s="75"/>
    </row>
    <row r="23" spans="1:6" ht="7.5" customHeight="1" thickBot="1" x14ac:dyDescent="0.3">
      <c r="A23" s="68"/>
      <c r="B23" s="68"/>
      <c r="C23" s="68"/>
      <c r="D23" s="68"/>
      <c r="E23" s="68"/>
    </row>
    <row r="24" spans="1:6" ht="18.75" customHeight="1" thickBot="1" x14ac:dyDescent="0.3">
      <c r="A24" s="168" t="s">
        <v>28</v>
      </c>
      <c r="B24" s="169"/>
      <c r="C24" s="169"/>
      <c r="D24" s="169"/>
      <c r="E24" s="170"/>
    </row>
    <row r="25" spans="1:6" x14ac:dyDescent="0.25">
      <c r="A25" s="180" t="s">
        <v>14</v>
      </c>
      <c r="B25" s="183" t="str">
        <f>'Fence Cost'!A8</f>
        <v>Page Wire Fence with optional top wires</v>
      </c>
      <c r="C25" s="183" t="str">
        <f>'Fence Cost'!A31&amp;" ("&amp;'Fence Cost'!C33&amp;" Strand)"</f>
        <v>Barbed Wire Fence (4 Strand)</v>
      </c>
      <c r="D25" s="183" t="str">
        <f>'Fence Cost'!A45&amp;" ("&amp;'Fence Cost'!C47&amp;" Strand)"</f>
        <v>Electric Wire Fence (2 Strand)</v>
      </c>
      <c r="E25" s="183" t="str">
        <f>"3D  Fence
(A. - " &amp;'Fence Cost'!A66&amp;" and B. - "&amp;'Fence Cost'!A69&amp;")"</f>
        <v>3D  Fence
(A. - Page Wire Fence with optional top wires and B. - Electric Wire Fence)</v>
      </c>
    </row>
    <row r="26" spans="1:6" ht="93" customHeight="1" thickBot="1" x14ac:dyDescent="0.3">
      <c r="A26" s="181"/>
      <c r="B26" s="184"/>
      <c r="C26" s="185"/>
      <c r="D26" s="185"/>
      <c r="E26" s="185"/>
      <c r="F26" s="2"/>
    </row>
    <row r="27" spans="1:6" x14ac:dyDescent="0.25">
      <c r="A27" s="13"/>
      <c r="B27" s="17"/>
      <c r="C27" s="17"/>
      <c r="D27" s="17"/>
      <c r="E27" s="14"/>
    </row>
    <row r="28" spans="1:6" ht="13.5" customHeight="1" x14ac:dyDescent="0.3">
      <c r="A28" s="86" t="s">
        <v>76</v>
      </c>
      <c r="B28" s="101">
        <f>'Fence Cost'!D28</f>
        <v>10721</v>
      </c>
      <c r="C28" s="101">
        <f>'Fence Cost'!D42</f>
        <v>5407</v>
      </c>
      <c r="D28" s="101">
        <f>'Fence Cost'!D61</f>
        <v>2194.5</v>
      </c>
      <c r="E28" s="102">
        <f>'Fence Cost'!D71</f>
        <v>12915.5</v>
      </c>
    </row>
    <row r="29" spans="1:6" ht="13" x14ac:dyDescent="0.3">
      <c r="A29" s="86" t="s">
        <v>77</v>
      </c>
      <c r="B29" s="103"/>
      <c r="C29" s="103"/>
      <c r="D29" s="103"/>
      <c r="E29" s="10"/>
    </row>
    <row r="30" spans="1:6" x14ac:dyDescent="0.25">
      <c r="A30" s="11" t="s">
        <v>71</v>
      </c>
      <c r="B30" s="103">
        <f>SUM(B20*D11*B19*('Fence Cost'!B19+'Fence Cost'!B20))</f>
        <v>108</v>
      </c>
      <c r="C30" s="103">
        <f>SUM(B20*D11*B19*('Fence Cost'!B38+'Fence Cost'!B39))</f>
        <v>108</v>
      </c>
      <c r="D30" s="103">
        <f>SUM(B20*D11*B19*('Fence Cost'!B54+'Fence Cost'!B55))</f>
        <v>108</v>
      </c>
      <c r="E30" s="135">
        <f>(IF('Fence Cost'!$A$66='Fence Cost'!$A$8,B30,IF('Fence Cost'!$A$66='Fence Cost'!$A$31,C30,IF('Fence Cost'!$A$66='Fence Cost'!$A$45,D30))))+(IF('Fence Cost'!$A68='Fence Cost'!$A$8,B30,IF('Fence Cost'!$A68='Fence Cost'!$A$31,C30,IF('Fence Cost'!$A$69='Fence Cost'!$A$45,D30))))</f>
        <v>216</v>
      </c>
    </row>
    <row r="31" spans="1:6" x14ac:dyDescent="0.25">
      <c r="A31" s="11" t="s">
        <v>72</v>
      </c>
      <c r="B31" s="103">
        <f>SUM((B19*B20*D12)*'Fence Cost'!C10)+((B20*D13*B19)*'Fence Cost'!C12)+((B20*D14*B19)*'Fence Cost'!C14)</f>
        <v>945</v>
      </c>
      <c r="C31" s="103">
        <f>SUM((B20*D13*B19)*'Fence Cost'!C33)</f>
        <v>216</v>
      </c>
      <c r="D31" s="103">
        <f>SUM((B20*D14*B19)*'Fence Cost'!C47)</f>
        <v>54</v>
      </c>
      <c r="E31" s="135">
        <f>(IF('Fence Cost'!$A$66='Fence Cost'!$A$8,B31,IF('Fence Cost'!$A$66='Fence Cost'!$A$31,C31,IF('Fence Cost'!$A$66='Fence Cost'!$A$45,D31))))+(IF('Fence Cost'!$A69='Fence Cost'!$A$8,B31,IF('Fence Cost'!$A69='Fence Cost'!$A$31,C31,IF('Fence Cost'!$A$69='Fence Cost'!$A$45,D31))))</f>
        <v>999</v>
      </c>
    </row>
    <row r="32" spans="1:6" x14ac:dyDescent="0.25">
      <c r="A32" s="11" t="s">
        <v>73</v>
      </c>
      <c r="B32" s="103">
        <f>SUM(B19*D16*'Fence Cost'!B17*'Fence Cost'!C10)+(B19*D15*'Fence Cost'!B17*'Fence Cost'!C12)+(B19*D15*'Fence Cost'!B17*'Fence Cost'!C14)</f>
        <v>311.84999999999997</v>
      </c>
      <c r="C32" s="103">
        <f>SUM(B19*D15*'Fence Cost'!B36*'Fence Cost'!C33)</f>
        <v>178.20000000000002</v>
      </c>
      <c r="D32" s="103">
        <f>SUM(B19*D15*'Fence Cost'!C47*'Fence Cost'!B52)</f>
        <v>35.64</v>
      </c>
      <c r="E32" s="135">
        <f>(IF('Fence Cost'!$A$66='Fence Cost'!$A$8,B32,IF('Fence Cost'!$A$66='Fence Cost'!$A$31,C32,IF('Fence Cost'!$A$66='Fence Cost'!$A$45,D32))))+(IF('Fence Cost'!$A70='Fence Cost'!$A$8,B32,IF('Fence Cost'!$A70='Fence Cost'!$A$31,C32,IF('Fence Cost'!$A$69='Fence Cost'!$A$45,D32))))</f>
        <v>347.48999999999995</v>
      </c>
    </row>
    <row r="33" spans="1:5" x14ac:dyDescent="0.25">
      <c r="A33" s="11" t="s">
        <v>74</v>
      </c>
      <c r="B33" s="103">
        <f>SUM(B19*D17*'Fence Cost'!B17)</f>
        <v>356.40000000000003</v>
      </c>
      <c r="C33" s="103">
        <f>SUM(B19*D17*'Fence Cost'!B36)</f>
        <v>356.40000000000003</v>
      </c>
      <c r="D33" s="103">
        <f>SUM(B19*D17*'Fence Cost'!B52)</f>
        <v>142.56</v>
      </c>
      <c r="E33" s="135">
        <f>(IF('Fence Cost'!$A$66='Fence Cost'!$A$8,B33,IF('Fence Cost'!$A$66='Fence Cost'!$A$31,C33,IF('Fence Cost'!$A$66='Fence Cost'!$A$45,D33))))+(IF('Fence Cost'!$A71='Fence Cost'!$A$8,B33,IF('Fence Cost'!$A71='Fence Cost'!$A$31,C33,IF('Fence Cost'!$A$69='Fence Cost'!$A$45,D33))))</f>
        <v>498.96000000000004</v>
      </c>
    </row>
    <row r="34" spans="1:5" x14ac:dyDescent="0.25">
      <c r="A34" s="11" t="s">
        <v>75</v>
      </c>
      <c r="B34" s="104">
        <f>SUM(B19*D17*'Fence Cost'!B17)</f>
        <v>356.40000000000003</v>
      </c>
      <c r="C34" s="104">
        <f>SUM(B19*D17*'Fence Cost'!B36)</f>
        <v>356.40000000000003</v>
      </c>
      <c r="D34" s="104">
        <f>SUM(B19*D17*'Fence Cost'!B52)</f>
        <v>142.56</v>
      </c>
      <c r="E34" s="136">
        <f>(IF('Fence Cost'!$A$66='Fence Cost'!$A$8,B34,IF('Fence Cost'!$A$66='Fence Cost'!$A$31,C34,IF('Fence Cost'!$A$66='Fence Cost'!$A$45,D34))))+(IF('Fence Cost'!$A72='Fence Cost'!$A$8,B34,IF('Fence Cost'!$A72='Fence Cost'!$A$31,C34,IF('Fence Cost'!$A$69='Fence Cost'!$A$45,D34))))</f>
        <v>498.96000000000004</v>
      </c>
    </row>
    <row r="35" spans="1:5" ht="13" x14ac:dyDescent="0.3">
      <c r="A35" s="87" t="s">
        <v>22</v>
      </c>
      <c r="B35" s="79">
        <f>SUM(B30:B34)</f>
        <v>2077.65</v>
      </c>
      <c r="C35" s="79">
        <f>SUM(C30:C34)</f>
        <v>1215.0000000000002</v>
      </c>
      <c r="D35" s="79">
        <f>SUM(D30:D34)</f>
        <v>482.76</v>
      </c>
      <c r="E35" s="79">
        <f>SUM(E30:E34)</f>
        <v>2560.41</v>
      </c>
    </row>
    <row r="36" spans="1:5" ht="13" x14ac:dyDescent="0.3">
      <c r="A36" s="86" t="s">
        <v>78</v>
      </c>
      <c r="B36" s="103"/>
      <c r="C36" s="103"/>
      <c r="D36" s="103"/>
      <c r="E36" s="10"/>
    </row>
    <row r="37" spans="1:5" x14ac:dyDescent="0.25">
      <c r="A37" s="11" t="s">
        <v>74</v>
      </c>
      <c r="B37" s="103">
        <f>SUM(B21*D17*'Fence Cost'!B17)+(B21*D13*'Fence Cost'!C12)+(B21*D14*'Fence Cost'!C14)+(B21*D12*'Fence Cost'!C10)</f>
        <v>2302.5</v>
      </c>
      <c r="C37" s="103">
        <f>SUM(B21*D17*'Fence Cost'!B36)+(B21*D13*'Fence Cost'!C33)</f>
        <v>1290</v>
      </c>
      <c r="D37" s="103">
        <f>SUM(B21*D17*'Fence Cost'!B52)+(B21*D14*'Fence Cost'!C47)</f>
        <v>471</v>
      </c>
      <c r="E37" s="135">
        <f>(IF('Fence Cost'!$A$66='Fence Cost'!$A$8,B37,IF('Fence Cost'!$A$66='Fence Cost'!$A$31,C37,IF('Fence Cost'!$A$66='Fence Cost'!$A$45,D37))))+(IF('Fence Cost'!$A75='Fence Cost'!$A$8,B37,IF('Fence Cost'!$A75='Fence Cost'!$A$31,C37,IF('Fence Cost'!$A$69='Fence Cost'!$A$45,D37))))</f>
        <v>2773.5</v>
      </c>
    </row>
    <row r="38" spans="1:5" x14ac:dyDescent="0.25">
      <c r="A38" s="11" t="s">
        <v>75</v>
      </c>
      <c r="B38" s="104">
        <f>SUM(B22*D17*'Fence Cost'!B17)</f>
        <v>330</v>
      </c>
      <c r="C38" s="104">
        <f>SUM(B22*D17*'Fence Cost'!B36)</f>
        <v>330</v>
      </c>
      <c r="D38" s="104">
        <f>SUM(B22*D17*'Fence Cost'!B52)</f>
        <v>132</v>
      </c>
      <c r="E38" s="136">
        <f>(IF('Fence Cost'!$A$66='Fence Cost'!$A$8,B38,IF('Fence Cost'!$A$66='Fence Cost'!$A$31,C38,IF('Fence Cost'!$A$66='Fence Cost'!$A$45,D38))))+(IF('Fence Cost'!$A76='Fence Cost'!$A$8,B38,IF('Fence Cost'!$A76='Fence Cost'!$A$31,C38,IF('Fence Cost'!$A$69='Fence Cost'!$A$45,D38))))</f>
        <v>462</v>
      </c>
    </row>
    <row r="39" spans="1:5" ht="13" x14ac:dyDescent="0.3">
      <c r="A39" s="87" t="s">
        <v>22</v>
      </c>
      <c r="B39" s="79">
        <f>SUM(B37:B38)</f>
        <v>2632.5</v>
      </c>
      <c r="C39" s="79">
        <f>SUM(C37:C38)</f>
        <v>1620</v>
      </c>
      <c r="D39" s="79">
        <f>SUM(D37:D38)</f>
        <v>603</v>
      </c>
      <c r="E39" s="79">
        <f>SUM(E37:E38)</f>
        <v>3235.5</v>
      </c>
    </row>
    <row r="40" spans="1:5" ht="13" thickBot="1" x14ac:dyDescent="0.3">
      <c r="A40" s="88"/>
      <c r="B40" s="32"/>
      <c r="C40" s="32"/>
      <c r="D40" s="32"/>
      <c r="E40" s="84"/>
    </row>
    <row r="41" spans="1:5" ht="13.5" thickBot="1" x14ac:dyDescent="0.35">
      <c r="A41" s="108" t="s">
        <v>79</v>
      </c>
      <c r="B41" s="18">
        <f>SUM(B28+B35+B39)</f>
        <v>15431.15</v>
      </c>
      <c r="C41" s="18">
        <f>SUM(C28+C35+C39)</f>
        <v>8242</v>
      </c>
      <c r="D41" s="18">
        <f>SUM(D28+D35+D39)</f>
        <v>3280.26</v>
      </c>
      <c r="E41" s="18">
        <f>SUM(E28+E35+E39)</f>
        <v>18711.41</v>
      </c>
    </row>
    <row r="42" spans="1:5" ht="13.5" thickBot="1" x14ac:dyDescent="0.35">
      <c r="A42" s="108" t="s">
        <v>98</v>
      </c>
      <c r="B42" s="18">
        <f>SUM(B41/5280)</f>
        <v>2.9225662878787877</v>
      </c>
      <c r="C42" s="18">
        <f>SUM(C41/5280)</f>
        <v>1.5609848484848485</v>
      </c>
      <c r="D42" s="18">
        <f>SUM(D41/5280)</f>
        <v>0.62126136363636364</v>
      </c>
      <c r="E42" s="18">
        <f>SUM(E41/5280)</f>
        <v>3.5438276515151514</v>
      </c>
    </row>
    <row r="43" spans="1:5" ht="25.5" thickBot="1" x14ac:dyDescent="0.3">
      <c r="A43" s="106" t="s">
        <v>90</v>
      </c>
      <c r="B43" s="107">
        <v>1</v>
      </c>
      <c r="C43" s="107">
        <v>1</v>
      </c>
      <c r="D43" s="107">
        <v>1</v>
      </c>
      <c r="E43" s="107">
        <v>1</v>
      </c>
    </row>
    <row r="44" spans="1:5" ht="13.5" thickBot="1" x14ac:dyDescent="0.35">
      <c r="A44" s="20" t="s">
        <v>91</v>
      </c>
      <c r="B44" s="18">
        <f>SUM(B43*B41)</f>
        <v>15431.15</v>
      </c>
      <c r="C44" s="18">
        <f>SUM(C43*C41)</f>
        <v>8242</v>
      </c>
      <c r="D44" s="18">
        <f>SUM(D43*D41)</f>
        <v>3280.26</v>
      </c>
      <c r="E44" s="18">
        <f>SUM(E43*E41)</f>
        <v>18711.41</v>
      </c>
    </row>
    <row r="45" spans="1:5" ht="13.5" thickBot="1" x14ac:dyDescent="0.35">
      <c r="A45" s="105"/>
      <c r="B45" s="30"/>
      <c r="C45" s="30"/>
      <c r="D45" s="30"/>
      <c r="E45" s="30"/>
    </row>
    <row r="46" spans="1:5" ht="18.75" customHeight="1" thickBot="1" x14ac:dyDescent="0.3">
      <c r="A46" s="168" t="s">
        <v>31</v>
      </c>
      <c r="B46" s="169"/>
      <c r="C46" s="169"/>
      <c r="D46" s="169"/>
      <c r="E46" s="170"/>
    </row>
    <row r="47" spans="1:5" s="2" customFormat="1" ht="105.75" customHeight="1" thickBot="1" x14ac:dyDescent="0.35">
      <c r="A47" s="110" t="s">
        <v>14</v>
      </c>
      <c r="B47" s="109" t="str">
        <f>B25</f>
        <v>Page Wire Fence with optional top wires</v>
      </c>
      <c r="C47" s="109" t="str">
        <f>C25</f>
        <v>Barbed Wire Fence (4 Strand)</v>
      </c>
      <c r="D47" s="109" t="str">
        <f>D25</f>
        <v>Electric Wire Fence (2 Strand)</v>
      </c>
      <c r="E47" s="109" t="str">
        <f>E25</f>
        <v>3D  Fence
(A. - Page Wire Fence with optional top wires and B. - Electric Wire Fence)</v>
      </c>
    </row>
    <row r="48" spans="1:5" ht="7.5" customHeight="1" x14ac:dyDescent="0.25">
      <c r="A48" s="99"/>
      <c r="B48" s="100"/>
      <c r="C48" s="98"/>
      <c r="D48" s="111"/>
      <c r="E48" s="100"/>
    </row>
    <row r="49" spans="1:5" x14ac:dyDescent="0.25">
      <c r="A49" s="19" t="s">
        <v>85</v>
      </c>
      <c r="B49" s="21">
        <f>SUM(B$43*'Fence Cost'!B22)</f>
        <v>0</v>
      </c>
      <c r="C49" s="21" t="s">
        <v>63</v>
      </c>
      <c r="D49" s="112">
        <f>SUM(D43*'Fence Cost'!B53)</f>
        <v>2.7</v>
      </c>
      <c r="E49" s="21">
        <f>SUM(E43*(((IF('Fence Cost'!$A$66='Fence Cost'!$A$8,'Fence Cost'!$B$22,IF('Fence Cost'!$A$66='Fence Cost'!$A$31,0,IF('Fence Cost'!$A$66='Fence Cost'!$A$45,'Fence Cost'!$B$53)))))+(IF('Fence Cost'!$A69='Fence Cost'!$A$8,'Fence Cost'!$B$22,IF('Fence Cost'!$A69='Fence Cost'!$A$31,0,IF('Fence Cost'!$A$69='Fence Cost'!$A45,'Fence Cost'!$B$53))))))</f>
        <v>2.7</v>
      </c>
    </row>
    <row r="50" spans="1:5" x14ac:dyDescent="0.25">
      <c r="A50" s="19" t="s">
        <v>86</v>
      </c>
      <c r="B50" s="21">
        <f>SUM(B$43*'Fence Cost'!B21)</f>
        <v>4</v>
      </c>
      <c r="C50" s="21">
        <f>SUM(C43*'Fence Cost'!B37)</f>
        <v>16</v>
      </c>
      <c r="D50" s="70" t="s">
        <v>63</v>
      </c>
      <c r="E50" s="21">
        <f>SUM(E43*(((IF('Fence Cost'!$A66='Fence Cost'!$A$8,'Fence Cost'!$B$21,IF('Fence Cost'!$A66='Fence Cost'!$A$31,'Fence Cost'!$B$37,IF('Fence Cost'!$A66='Fence Cost'!$A$45,0)))))+(IF('Fence Cost'!$A69='Fence Cost'!$A$8,'Fence Cost'!$B$21,IF('Fence Cost'!$A69='Fence Cost'!$A$31,'Fence Cost'!$B$37,IF('Fence Cost'!$A69='Fence Cost'!$A45,0))))))</f>
        <v>4</v>
      </c>
    </row>
    <row r="51" spans="1:5" x14ac:dyDescent="0.25">
      <c r="A51" s="19" t="s">
        <v>87</v>
      </c>
      <c r="B51" s="21">
        <f>SUM(B$43*'Fence Cost'!B18)</f>
        <v>8</v>
      </c>
      <c r="C51" s="21" t="s">
        <v>63</v>
      </c>
      <c r="D51" s="70" t="s">
        <v>63</v>
      </c>
      <c r="E51" s="21">
        <f>SUM(E43*(((IF('Fence Cost'!$A$66='Fence Cost'!$A$8,'Fence Cost'!$B$18,IF('Fence Cost'!$A$66='Fence Cost'!$A$31,0,IF('Fence Cost'!$A$66='Fence Cost'!$A$45,0)))))+(IF('Fence Cost'!$A$69='Fence Cost'!$A$8,'Fence Cost'!$B$18,IF('Fence Cost'!$A$69='Fence Cost'!$A$31,0,IF('Fence Cost'!$A$69='Fence Cost'!$A$45,0))))))</f>
        <v>8</v>
      </c>
    </row>
    <row r="52" spans="1:5" ht="12.75" customHeight="1" x14ac:dyDescent="0.25">
      <c r="A52" s="19" t="s">
        <v>88</v>
      </c>
      <c r="B52" s="21">
        <f>SUM(B43*'Fence Cost'!B17)</f>
        <v>330</v>
      </c>
      <c r="C52" s="21">
        <f>SUM(C43*'Fence Cost'!B36)</f>
        <v>330</v>
      </c>
      <c r="D52" s="112">
        <f>SUM(D43*'Fence Cost'!B52)</f>
        <v>132</v>
      </c>
      <c r="E52" s="21">
        <f>SUM(E43*(((IF('Fence Cost'!$A$66='Fence Cost'!$A$8,'Fence Cost'!$B$17,IF('Fence Cost'!$A$66='Fence Cost'!$A$31,'Fence Cost'!$B$36,IF('Fence Cost'!$A$66='Fence Cost'!$A$45,'Fence Cost'!$B$52)))))+(IF('Fence Cost'!$A69='Fence Cost'!$A$8,'Fence Cost'!$B$17,IF('Fence Cost'!$A69='Fence Cost'!$A$31,'Fence Cost'!$B$36,IF('Fence Cost'!$A69='Fence Cost'!$A$45,'Fence Cost'!$B$52))))))</f>
        <v>462</v>
      </c>
    </row>
    <row r="53" spans="1:5" ht="12.75" customHeight="1" x14ac:dyDescent="0.25">
      <c r="A53" s="19" t="s">
        <v>89</v>
      </c>
      <c r="B53" s="21"/>
      <c r="C53" s="21"/>
      <c r="D53" s="112"/>
      <c r="E53" s="21"/>
    </row>
    <row r="54" spans="1:5" ht="7.5" customHeight="1" thickBot="1" x14ac:dyDescent="0.3">
      <c r="A54" s="19"/>
      <c r="B54" s="21"/>
      <c r="C54" s="113"/>
      <c r="D54" s="112"/>
      <c r="E54" s="21"/>
    </row>
    <row r="55" spans="1:5" ht="13.5" thickBot="1" x14ac:dyDescent="0.35">
      <c r="A55" s="172"/>
      <c r="B55" s="172"/>
      <c r="C55" s="172"/>
      <c r="D55" s="172"/>
      <c r="E55" s="172"/>
    </row>
    <row r="56" spans="1:5" ht="18.75" customHeight="1" thickBot="1" x14ac:dyDescent="0.3">
      <c r="A56" s="168" t="s">
        <v>29</v>
      </c>
      <c r="B56" s="169"/>
      <c r="C56" s="169"/>
      <c r="D56" s="170"/>
      <c r="E56" s="3"/>
    </row>
    <row r="57" spans="1:5" ht="13.5" thickBot="1" x14ac:dyDescent="0.35">
      <c r="A57" s="22" t="s">
        <v>23</v>
      </c>
      <c r="B57" s="23" t="s">
        <v>20</v>
      </c>
      <c r="C57" s="23" t="s">
        <v>21</v>
      </c>
      <c r="D57" s="23" t="s">
        <v>22</v>
      </c>
      <c r="E57" s="3"/>
    </row>
    <row r="58" spans="1:5" ht="13" x14ac:dyDescent="0.3">
      <c r="A58" s="24" t="s">
        <v>25</v>
      </c>
      <c r="B58" s="130">
        <v>220</v>
      </c>
      <c r="C58" s="27">
        <v>2</v>
      </c>
      <c r="D58" s="29">
        <f t="shared" ref="D58:D64" si="0">SUM(C58*B58)</f>
        <v>440</v>
      </c>
      <c r="E58" s="3"/>
    </row>
    <row r="59" spans="1:5" ht="13" x14ac:dyDescent="0.3">
      <c r="A59" s="25" t="s">
        <v>10</v>
      </c>
      <c r="B59" s="131">
        <v>30</v>
      </c>
      <c r="C59" s="28">
        <v>0</v>
      </c>
      <c r="D59" s="10">
        <f t="shared" si="0"/>
        <v>0</v>
      </c>
      <c r="E59" s="3"/>
    </row>
    <row r="60" spans="1:5" ht="13" x14ac:dyDescent="0.3">
      <c r="A60" s="25" t="s">
        <v>7</v>
      </c>
      <c r="B60" s="131">
        <v>160</v>
      </c>
      <c r="C60" s="28">
        <v>0</v>
      </c>
      <c r="D60" s="10">
        <f t="shared" si="0"/>
        <v>0</v>
      </c>
      <c r="E60" s="3"/>
    </row>
    <row r="61" spans="1:5" ht="13" x14ac:dyDescent="0.3">
      <c r="A61" s="25" t="s">
        <v>11</v>
      </c>
      <c r="B61" s="131">
        <v>640</v>
      </c>
      <c r="C61" s="28">
        <v>0</v>
      </c>
      <c r="D61" s="10">
        <f t="shared" si="0"/>
        <v>0</v>
      </c>
      <c r="E61" s="3"/>
    </row>
    <row r="62" spans="1:5" ht="13" x14ac:dyDescent="0.3">
      <c r="A62" s="25" t="s">
        <v>8</v>
      </c>
      <c r="B62" s="131">
        <v>320</v>
      </c>
      <c r="C62" s="28">
        <v>0</v>
      </c>
      <c r="D62" s="10">
        <f t="shared" si="0"/>
        <v>0</v>
      </c>
      <c r="E62" s="3"/>
    </row>
    <row r="63" spans="1:5" ht="13" x14ac:dyDescent="0.3">
      <c r="A63" s="25" t="s">
        <v>9</v>
      </c>
      <c r="B63" s="131">
        <v>175</v>
      </c>
      <c r="C63" s="28">
        <v>0</v>
      </c>
      <c r="D63" s="10">
        <f t="shared" si="0"/>
        <v>0</v>
      </c>
      <c r="E63" s="3"/>
    </row>
    <row r="64" spans="1:5" ht="13.5" thickBot="1" x14ac:dyDescent="0.35">
      <c r="A64" s="26" t="s">
        <v>12</v>
      </c>
      <c r="B64" s="132">
        <v>400</v>
      </c>
      <c r="C64" s="83">
        <v>1</v>
      </c>
      <c r="D64" s="84">
        <f t="shared" si="0"/>
        <v>400</v>
      </c>
      <c r="E64" s="3"/>
    </row>
    <row r="65" spans="1:17" ht="13.5" thickBot="1" x14ac:dyDescent="0.35">
      <c r="A65" s="26"/>
      <c r="B65" s="31"/>
      <c r="C65" s="32"/>
      <c r="D65" s="16">
        <f>SUM(D58:D64)</f>
        <v>840</v>
      </c>
      <c r="E65" s="3"/>
    </row>
    <row r="66" spans="1:17" ht="13" thickBot="1" x14ac:dyDescent="0.3">
      <c r="A66" s="173"/>
      <c r="B66" s="173"/>
      <c r="C66" s="173"/>
      <c r="D66" s="173"/>
      <c r="E66" s="173"/>
    </row>
    <row r="67" spans="1:17" ht="18.75" customHeight="1" thickBot="1" x14ac:dyDescent="0.3">
      <c r="A67" s="168" t="s">
        <v>32</v>
      </c>
      <c r="B67" s="169"/>
      <c r="C67" s="169"/>
      <c r="D67" s="170"/>
      <c r="E67" s="3"/>
    </row>
    <row r="68" spans="1:17" ht="13.5" thickBot="1" x14ac:dyDescent="0.35">
      <c r="A68" s="94" t="s">
        <v>24</v>
      </c>
      <c r="B68" s="95">
        <f>SUM(B44:E44)+D65</f>
        <v>46504.820000000007</v>
      </c>
      <c r="C68" s="96"/>
      <c r="D68" s="97"/>
      <c r="E68" s="3"/>
    </row>
    <row r="69" spans="1:17" x14ac:dyDescent="0.25">
      <c r="A69" s="34"/>
      <c r="D69" s="9"/>
    </row>
    <row r="70" spans="1:17" ht="13" x14ac:dyDescent="0.3">
      <c r="A70" s="33" t="s">
        <v>59</v>
      </c>
      <c r="B70" s="35">
        <v>120</v>
      </c>
      <c r="D70" s="9"/>
    </row>
    <row r="71" spans="1:17" ht="13" x14ac:dyDescent="0.3">
      <c r="A71" s="11"/>
      <c r="B71" s="36"/>
      <c r="D71" s="9"/>
    </row>
    <row r="72" spans="1:17" ht="13" x14ac:dyDescent="0.3">
      <c r="A72" s="37" t="s">
        <v>18</v>
      </c>
      <c r="B72" s="1"/>
      <c r="C72" s="5" t="s">
        <v>84</v>
      </c>
      <c r="D72" s="9"/>
    </row>
    <row r="73" spans="1:17" ht="13" x14ac:dyDescent="0.3">
      <c r="A73" s="38" t="s">
        <v>15</v>
      </c>
      <c r="B73" s="35">
        <v>20</v>
      </c>
      <c r="C73" s="3">
        <f>SUM(B68*0.9)/B73</f>
        <v>2092.7169000000004</v>
      </c>
      <c r="D73" s="9"/>
    </row>
    <row r="74" spans="1:17" ht="13" x14ac:dyDescent="0.3">
      <c r="A74" s="38" t="s">
        <v>16</v>
      </c>
      <c r="B74" s="35">
        <v>2.5</v>
      </c>
      <c r="C74" s="4">
        <f>SUM((B68*1.1)*(B74/100))</f>
        <v>1278.8825500000003</v>
      </c>
      <c r="D74" s="9"/>
    </row>
    <row r="75" spans="1:17" ht="13" x14ac:dyDescent="0.3">
      <c r="A75" s="39" t="s">
        <v>17</v>
      </c>
      <c r="B75" s="7">
        <v>5</v>
      </c>
      <c r="C75" s="6">
        <f>SUM(B68*(B75/100))</f>
        <v>2325.2410000000004</v>
      </c>
      <c r="D75" s="9"/>
    </row>
    <row r="76" spans="1:17" x14ac:dyDescent="0.25">
      <c r="A76" s="8"/>
      <c r="C76" s="3"/>
      <c r="D76" s="9"/>
    </row>
    <row r="77" spans="1:17" ht="13" x14ac:dyDescent="0.3">
      <c r="A77" s="33"/>
      <c r="B77" s="114" t="s">
        <v>19</v>
      </c>
      <c r="C77" s="30">
        <f>SUM(C73:C75)</f>
        <v>5696.8404500000015</v>
      </c>
      <c r="D77" s="9"/>
    </row>
    <row r="78" spans="1:17" ht="13.5" thickBot="1" x14ac:dyDescent="0.35">
      <c r="A78" s="15"/>
      <c r="B78" s="40" t="s">
        <v>62</v>
      </c>
      <c r="C78" s="41">
        <f>SUM(C77/B70)</f>
        <v>47.473670416666678</v>
      </c>
      <c r="D78" s="12"/>
    </row>
    <row r="79" spans="1:17" ht="13" x14ac:dyDescent="0.3">
      <c r="A79" s="137"/>
      <c r="B79" s="137"/>
      <c r="C79" s="137"/>
      <c r="D79" s="137"/>
    </row>
    <row r="80" spans="1:17" ht="15" customHeight="1" x14ac:dyDescent="0.25">
      <c r="A80" s="171" t="s">
        <v>97</v>
      </c>
      <c r="B80" s="171"/>
      <c r="C80" s="171"/>
      <c r="D80" s="171"/>
      <c r="F80" s="124"/>
      <c r="G80" s="124"/>
      <c r="N80" s="125"/>
      <c r="O80" s="3"/>
      <c r="P80" s="3"/>
      <c r="Q80" s="3"/>
    </row>
    <row r="81" spans="1:17" x14ac:dyDescent="0.25">
      <c r="A81" s="171"/>
      <c r="B81" s="171"/>
      <c r="C81" s="171"/>
      <c r="D81" s="171"/>
      <c r="F81" s="124"/>
      <c r="G81" s="124"/>
      <c r="N81" s="125"/>
      <c r="O81" s="3"/>
      <c r="P81" s="3"/>
      <c r="Q81" s="3"/>
    </row>
    <row r="82" spans="1:17" ht="15.5" x14ac:dyDescent="0.35">
      <c r="A82" s="126"/>
      <c r="B82" s="127"/>
      <c r="C82" s="1"/>
      <c r="D82" s="1"/>
      <c r="E82" s="128" t="str">
        <f>'Fence Cost'!D89</f>
        <v>April, 2025</v>
      </c>
      <c r="J82" s="129"/>
      <c r="K82" s="129"/>
      <c r="L82" s="129"/>
      <c r="N82" s="125"/>
      <c r="O82" s="3"/>
      <c r="P82" s="3"/>
    </row>
  </sheetData>
  <sheetProtection algorithmName="SHA-512" hashValue="fA55Tt72NjAb5vNTcdpMcCptbQo7N85F1bJ1HxJ0GAN658kmDzuiqACNOACtjfIuGALzNzrlMVdH2NaVbTEEKA==" saltValue="xpSmGneVRFzifPZwLnN2cg==" spinCount="100000" sheet="1" objects="1" scenarios="1"/>
  <mergeCells count="14">
    <mergeCell ref="A7:E8"/>
    <mergeCell ref="A25:A26"/>
    <mergeCell ref="A9:E9"/>
    <mergeCell ref="A24:E24"/>
    <mergeCell ref="B25:B26"/>
    <mergeCell ref="C25:C26"/>
    <mergeCell ref="D25:D26"/>
    <mergeCell ref="E25:E26"/>
    <mergeCell ref="A56:D56"/>
    <mergeCell ref="A46:E46"/>
    <mergeCell ref="A80:D81"/>
    <mergeCell ref="A67:D67"/>
    <mergeCell ref="A55:E55"/>
    <mergeCell ref="A66:E66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scale="82" orientation="portrait" r:id="rId1"/>
  <headerFooter scaleWithDoc="0">
    <oddHeader>&amp;R&amp;P</oddHeader>
  </headerFooter>
  <rowBreaks count="1" manualBreakCount="1">
    <brk id="45" max="4" man="1"/>
  </rowBreaks>
  <ignoredErrors>
    <ignoredError sqref="B52:D52 D4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C3257931C4EB4CBE667AF33D71167E" ma:contentTypeVersion="3" ma:contentTypeDescription="Create a new document." ma:contentTypeScope="" ma:versionID="40765f1e47717a1969b3d26f47aa1f8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665880aa3952302b15396eac48c336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7C43D4-0FFF-494F-A6DA-56301831C33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084929-EA78-4268-A8D5-92B97BD6323F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18F0918-C80A-4671-99C4-83A5EECB3228}"/>
</file>

<file path=customXml/itemProps4.xml><?xml version="1.0" encoding="utf-8"?>
<ds:datastoreItem xmlns:ds="http://schemas.openxmlformats.org/officeDocument/2006/customXml" ds:itemID="{484586BD-C5CB-4BFF-8D03-C1FBB22E19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Fence Cost</vt:lpstr>
      <vt:lpstr>Fence &amp; Labour Cost Worksheet</vt:lpstr>
      <vt:lpstr>'Fence &amp; Labour Cost Worksheet'!Print_Area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FencePlan Calculator</dc:title>
  <dc:creator>Roy Arnott</dc:creator>
  <cp:lastModifiedBy>Mashinini, Khosi</cp:lastModifiedBy>
  <cp:lastPrinted>2023-04-26T16:32:05Z</cp:lastPrinted>
  <dcterms:created xsi:type="dcterms:W3CDTF">2006-09-12T14:29:22Z</dcterms:created>
  <dcterms:modified xsi:type="dcterms:W3CDTF">2025-07-04T14:29:01Z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ContentTypeId">
    <vt:lpwstr>0x01010007C3257931C4EB4CBE667AF33D71167E</vt:lpwstr>
  </property>
  <property fmtid="{D5CDD505-2E9C-101B-9397-08002B2CF9AE}" pid="6" name="_SourceUrl">
    <vt:lpwstr/>
  </property>
  <property fmtid="{D5CDD505-2E9C-101B-9397-08002B2CF9AE}" pid="7" name="_SharedFileIndex">
    <vt:lpwstr/>
  </property>
</Properties>
</file>