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P:\D03\Farm Management\1. Cost of Production\1.1 Crops\Crop Calculators\2026\"/>
    </mc:Choice>
  </mc:AlternateContent>
  <xr:revisionPtr revIDLastSave="0" documentId="8_{D34E1DF9-04F2-464E-8801-6704BDBCFE07}" xr6:coauthVersionLast="47" xr6:coauthVersionMax="47" xr10:uidLastSave="{00000000-0000-0000-0000-000000000000}"/>
  <workbookProtection workbookAlgorithmName="SHA-512" workbookHashValue="RGWVnW5gl2ePydrx1vCll9XARFPKxsrM9n7An4HzdGOZrMb3mCjDYNVdP6GLCUc0KdVGuV9GZS57NrftvPvBhA==" workbookSaltValue="TWg2w1G52jpUT19yPK+kqg==" workbookSpinCount="100000" lockStructure="1"/>
  <bookViews>
    <workbookView xWindow="-108" yWindow="-108" windowWidth="23256" windowHeight="12456" tabRatio="569" xr2:uid="{00000000-000D-0000-FFFF-FFFF00000000}"/>
  </bookViews>
  <sheets>
    <sheet name="Information Sheet" sheetId="5" r:id="rId1"/>
    <sheet name="Input Data" sheetId="1" r:id="rId2"/>
    <sheet name="Crop Drying Cost Report" sheetId="2" r:id="rId3"/>
    <sheet name="Assumptions" sheetId="3" r:id="rId4"/>
    <sheet name="Coefficients" sheetId="4" r:id="rId5"/>
  </sheets>
  <definedNames>
    <definedName name="\a">'Input Data'!$C$156</definedName>
    <definedName name="\d">'Input Data'!$C$182</definedName>
    <definedName name="\h">'Input Data'!$C$154</definedName>
    <definedName name="\l">'Input Data'!$C$184</definedName>
    <definedName name="\p">'Input Data'!$C$161:$C$176</definedName>
    <definedName name="_Regression_Int" localSheetId="1" hidden="1">1</definedName>
    <definedName name="_xlnm.Print_Area" localSheetId="1">'Input Data'!$A$1:$G$59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C63" i="1" l="1"/>
  <c r="F63" i="1" s="1"/>
  <c r="D63" i="1"/>
  <c r="J69" i="1"/>
  <c r="J70" i="1"/>
  <c r="D16" i="2" l="1"/>
  <c r="F46" i="1" l="1"/>
  <c r="F44" i="1"/>
  <c r="C11" i="3" l="1"/>
  <c r="F31" i="2"/>
  <c r="D25" i="2"/>
  <c r="D26" i="2"/>
  <c r="A20" i="2"/>
  <c r="D4" i="2"/>
  <c r="A19" i="2"/>
  <c r="D17" i="2"/>
  <c r="F40" i="1"/>
  <c r="F32" i="1"/>
  <c r="D9" i="2" s="1"/>
  <c r="G39" i="1"/>
  <c r="D6" i="2"/>
  <c r="D3" i="2"/>
  <c r="E18" i="3"/>
  <c r="C17" i="3"/>
  <c r="C36" i="4"/>
  <c r="C35" i="4"/>
  <c r="C34" i="4"/>
  <c r="C33" i="4"/>
  <c r="C32" i="4"/>
  <c r="E9" i="4"/>
  <c r="G9" i="4" s="1"/>
  <c r="E8" i="4"/>
  <c r="G8" i="4" s="1"/>
  <c r="D19" i="2" s="1"/>
  <c r="E7" i="4"/>
  <c r="G7" i="4" s="1"/>
  <c r="E6" i="4"/>
  <c r="G6" i="4" s="1"/>
  <c r="E5" i="4"/>
  <c r="G5" i="4" s="1"/>
  <c r="C29" i="4"/>
  <c r="G23" i="4"/>
  <c r="C28" i="4"/>
  <c r="G25" i="4"/>
  <c r="E25" i="4"/>
  <c r="C25" i="4"/>
  <c r="G24" i="4"/>
  <c r="E24" i="4"/>
  <c r="C24" i="4"/>
  <c r="E23" i="4"/>
  <c r="C23" i="4"/>
  <c r="G22" i="4"/>
  <c r="E22" i="4"/>
  <c r="C22" i="4"/>
  <c r="G21" i="4"/>
  <c r="E21" i="4"/>
  <c r="C21" i="4"/>
  <c r="E17" i="4"/>
  <c r="C17" i="4"/>
  <c r="E16" i="4"/>
  <c r="C16" i="4"/>
  <c r="E15" i="4"/>
  <c r="C15" i="4"/>
  <c r="E14" i="4"/>
  <c r="C14" i="4"/>
  <c r="E13" i="4"/>
  <c r="C13" i="4"/>
  <c r="D7" i="2"/>
  <c r="D11" i="2"/>
  <c r="D10" i="2"/>
  <c r="D5" i="2"/>
  <c r="G31" i="1"/>
  <c r="C8" i="3"/>
  <c r="C10" i="3"/>
  <c r="E9" i="2" l="1"/>
  <c r="F25" i="2"/>
  <c r="E25" i="2" s="1"/>
  <c r="F16" i="2"/>
  <c r="E16" i="2" s="1"/>
  <c r="F26" i="2"/>
  <c r="E26" i="2" s="1"/>
  <c r="F18" i="2"/>
  <c r="E18" i="2" s="1"/>
  <c r="F17" i="2"/>
  <c r="D27" i="2"/>
  <c r="D20" i="2"/>
  <c r="D21" i="2" s="1"/>
  <c r="D22" i="2" s="1"/>
  <c r="F19" i="2"/>
  <c r="E19" i="2" s="1"/>
  <c r="E20" i="2" s="1"/>
  <c r="E21" i="2" s="1"/>
  <c r="E27" i="2" l="1"/>
  <c r="F27" i="2"/>
  <c r="E17" i="2"/>
  <c r="E22" i="2" s="1"/>
  <c r="D29" i="2"/>
  <c r="E31" i="2" s="1"/>
  <c r="F20" i="2"/>
  <c r="F21" i="2" s="1"/>
  <c r="F22" i="2" s="1"/>
  <c r="E29" i="2" l="1"/>
  <c r="F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Evans</author>
  </authors>
  <commentList>
    <comment ref="F6" authorId="0" shapeId="0" xr:uid="{00000000-0006-0000-0100-000001000000}">
      <text>
        <r>
          <rPr>
            <b/>
            <sz val="8"/>
            <color indexed="81"/>
            <rFont val="Tahoma"/>
            <family val="2"/>
          </rPr>
          <t>Enter:</t>
        </r>
        <r>
          <rPr>
            <sz val="8"/>
            <color indexed="81"/>
            <rFont val="Tahoma"/>
            <family val="2"/>
          </rPr>
          <t xml:space="preserve">
1 for Batch
2 for Continuous
</t>
        </r>
      </text>
    </comment>
    <comment ref="F14" authorId="0" shapeId="0" xr:uid="{00000000-0006-0000-0100-000002000000}">
      <text>
        <r>
          <rPr>
            <b/>
            <sz val="8"/>
            <color indexed="81"/>
            <rFont val="Tahoma"/>
            <family val="2"/>
          </rPr>
          <t>Enter:</t>
        </r>
        <r>
          <rPr>
            <sz val="8"/>
            <color indexed="81"/>
            <rFont val="Tahoma"/>
            <family val="2"/>
          </rPr>
          <t xml:space="preserve">
1 for Wheat
2 for Barley
3 for Canola
4 for Corn
5 for Sunflowers
</t>
        </r>
      </text>
    </comment>
    <comment ref="F19" authorId="0" shapeId="0" xr:uid="{00000000-0006-0000-0100-000003000000}">
      <text>
        <r>
          <rPr>
            <b/>
            <sz val="8"/>
            <color indexed="81"/>
            <rFont val="Tahoma"/>
            <family val="2"/>
          </rPr>
          <t>Enter:</t>
        </r>
        <r>
          <rPr>
            <sz val="8"/>
            <color indexed="81"/>
            <rFont val="Tahoma"/>
            <family val="2"/>
          </rPr>
          <t xml:space="preserve">
1 for Propane
2 for Natural Gas
</t>
        </r>
      </text>
    </comment>
    <comment ref="F21" authorId="0" shapeId="0" xr:uid="{00000000-0006-0000-0100-000004000000}">
      <text>
        <r>
          <rPr>
            <b/>
            <sz val="8"/>
            <color indexed="81"/>
            <rFont val="Tahoma"/>
            <family val="2"/>
          </rPr>
          <t xml:space="preserve">Enter:
</t>
        </r>
        <r>
          <rPr>
            <sz val="8"/>
            <color indexed="81"/>
            <rFont val="Tahoma"/>
            <family val="2"/>
          </rPr>
          <t>Market Price per Tonne</t>
        </r>
        <r>
          <rPr>
            <sz val="8"/>
            <color indexed="81"/>
            <rFont val="Tahoma"/>
            <family val="2"/>
          </rPr>
          <t xml:space="preserve">
</t>
        </r>
      </text>
    </comment>
    <comment ref="F24" authorId="0" shapeId="0" xr:uid="{00000000-0006-0000-0100-000005000000}">
      <text>
        <r>
          <rPr>
            <b/>
            <sz val="8"/>
            <color indexed="81"/>
            <rFont val="Tahoma"/>
            <family val="2"/>
          </rPr>
          <t xml:space="preserve">Typical Range:
</t>
        </r>
        <r>
          <rPr>
            <sz val="8"/>
            <color indexed="81"/>
            <rFont val="Tahoma"/>
            <family val="2"/>
          </rPr>
          <t>Wheat: 14.5 - 24.0%</t>
        </r>
        <r>
          <rPr>
            <b/>
            <sz val="8"/>
            <color indexed="81"/>
            <rFont val="Tahoma"/>
            <family val="2"/>
          </rPr>
          <t xml:space="preserve">
</t>
        </r>
        <r>
          <rPr>
            <sz val="8"/>
            <color indexed="81"/>
            <rFont val="Tahoma"/>
            <family val="2"/>
          </rPr>
          <t>Barley: 14.8 - 24.0%
Canola: 9.5 - 18.0%
Corn: 15.5 - 18.0%
Sunflower: 9.5 - 12.0%</t>
        </r>
        <r>
          <rPr>
            <sz val="8"/>
            <color indexed="81"/>
            <rFont val="Tahoma"/>
            <family val="2"/>
          </rPr>
          <t xml:space="preserve">
 </t>
        </r>
      </text>
    </comment>
    <comment ref="F25" authorId="0" shapeId="0" xr:uid="{00000000-0006-0000-0100-000006000000}">
      <text>
        <r>
          <rPr>
            <b/>
            <sz val="8"/>
            <color indexed="81"/>
            <rFont val="Tahoma"/>
            <family val="2"/>
          </rPr>
          <t xml:space="preserve">Typical Range:
</t>
        </r>
        <r>
          <rPr>
            <sz val="8"/>
            <color indexed="81"/>
            <rFont val="Tahoma"/>
            <family val="2"/>
          </rPr>
          <t xml:space="preserve">Wheat:13.0 - 14.5%
Barley: 13.5 - 14.8%
Canola: 8.0 - 9.5%
Corn: 14.0 - 15.4%
Sunflower: 8.0 - 9.5%
</t>
        </r>
        <r>
          <rPr>
            <sz val="8"/>
            <color indexed="81"/>
            <rFont val="Tahoma"/>
            <family val="2"/>
          </rPr>
          <t xml:space="preserve">
</t>
        </r>
      </text>
    </comment>
    <comment ref="F30" authorId="0" shapeId="0" xr:uid="{00000000-0006-0000-0100-000007000000}">
      <text>
        <r>
          <rPr>
            <b/>
            <sz val="8"/>
            <color indexed="81"/>
            <rFont val="Tahoma"/>
            <family val="2"/>
          </rPr>
          <t>Enter:</t>
        </r>
        <r>
          <rPr>
            <sz val="8"/>
            <color indexed="81"/>
            <rFont val="Tahoma"/>
            <family val="2"/>
          </rPr>
          <t xml:space="preserve">
1 for Metric
2 for Imperial
</t>
        </r>
      </text>
    </comment>
    <comment ref="F31" authorId="0" shapeId="0" xr:uid="{00000000-0006-0000-0100-000008000000}">
      <text>
        <r>
          <rPr>
            <b/>
            <sz val="8"/>
            <color indexed="81"/>
            <rFont val="Tahoma"/>
            <family val="2"/>
          </rPr>
          <t>Enter Capacity of Dryer</t>
        </r>
        <r>
          <rPr>
            <sz val="8"/>
            <color indexed="81"/>
            <rFont val="Tahoma"/>
            <family val="2"/>
          </rPr>
          <t xml:space="preserve">
</t>
        </r>
      </text>
    </comment>
    <comment ref="F38" authorId="0" shapeId="0" xr:uid="{00000000-0006-0000-0100-000009000000}">
      <text>
        <r>
          <rPr>
            <b/>
            <sz val="8"/>
            <color indexed="81"/>
            <rFont val="Tahoma"/>
            <family val="2"/>
          </rPr>
          <t xml:space="preserve">Enter:
</t>
        </r>
        <r>
          <rPr>
            <sz val="8"/>
            <color indexed="81"/>
            <rFont val="Tahoma"/>
            <family val="2"/>
          </rPr>
          <t>1 for Metric
2 for Imperial</t>
        </r>
        <r>
          <rPr>
            <sz val="8"/>
            <color indexed="81"/>
            <rFont val="Tahoma"/>
            <family val="2"/>
          </rPr>
          <t xml:space="preserve">
</t>
        </r>
      </text>
    </comment>
  </commentList>
</comments>
</file>

<file path=xl/sharedStrings.xml><?xml version="1.0" encoding="utf-8"?>
<sst xmlns="http://schemas.openxmlformats.org/spreadsheetml/2006/main" count="285" uniqueCount="204">
  <si>
    <t>Drying Rate</t>
  </si>
  <si>
    <t>FUEL CONSUMPTION</t>
  </si>
  <si>
    <t>Batch</t>
  </si>
  <si>
    <t>Continuous Flow</t>
  </si>
  <si>
    <t>(1 or 2)...</t>
  </si>
  <si>
    <t>Wheat</t>
  </si>
  <si>
    <t>Barley</t>
  </si>
  <si>
    <t>Initial M.C. Range</t>
  </si>
  <si>
    <t>Corn</t>
  </si>
  <si>
    <t>Sunflowers</t>
  </si>
  <si>
    <t>Estimated Market Price per Tonne of Crop</t>
  </si>
  <si>
    <t xml:space="preserve"> /tonne</t>
  </si>
  <si>
    <t>Outside Air Temp (Celsius), (at time of drying)</t>
  </si>
  <si>
    <t>deg. Celsius</t>
  </si>
  <si>
    <t>Temp. of Drying Air (deg. C)</t>
  </si>
  <si>
    <t>Final M.C. Range</t>
  </si>
  <si>
    <t>Initial Moisture Content of Grain (%)</t>
  </si>
  <si>
    <t>%</t>
  </si>
  <si>
    <t>Final Moisture Content of Grain (%)</t>
  </si>
  <si>
    <t>Batch Dryers Only</t>
  </si>
  <si>
    <t>Cubic Metres</t>
  </si>
  <si>
    <t>Bushels</t>
  </si>
  <si>
    <t>Capacity</t>
  </si>
  <si>
    <t>Capacity in Cubic Metres</t>
  </si>
  <si>
    <t>m3</t>
  </si>
  <si>
    <t>Hours to Dry a Batch</t>
  </si>
  <si>
    <t>hrs</t>
  </si>
  <si>
    <t>Continuous Flow Dryers Only</t>
  </si>
  <si>
    <t>ASSUMPTIONS:</t>
  </si>
  <si>
    <t>Approx. Drying Rate</t>
  </si>
  <si>
    <t>Tonnes/Hour</t>
  </si>
  <si>
    <t>Bushels/Hour</t>
  </si>
  <si>
    <t>t/hr</t>
  </si>
  <si>
    <t>All Dryers</t>
  </si>
  <si>
    <t>Electrical Energy Cost ($/kWh)</t>
  </si>
  <si>
    <t>/kwh</t>
  </si>
  <si>
    <t>Cost of Propane ($/L)</t>
  </si>
  <si>
    <t>/litre</t>
  </si>
  <si>
    <t>Hourly repair rate is 1.5% of new cost per 100 hours of use.</t>
  </si>
  <si>
    <t>Total Power of Electric Motors on Dryer (HP)</t>
  </si>
  <si>
    <t>HP</t>
  </si>
  <si>
    <t>Tractor Size Required to Drive Dryer (HP)</t>
  </si>
  <si>
    <t>-</t>
  </si>
  <si>
    <t>Labour Charge per Hour</t>
  </si>
  <si>
    <t>/hr</t>
  </si>
  <si>
    <t>Investment Cost includes 20% salvage value.</t>
  </si>
  <si>
    <t>Estimated Hours of Use per Year</t>
  </si>
  <si>
    <t>Cost of Grain Dryer</t>
  </si>
  <si>
    <t>Cost of Surge Bins</t>
  </si>
  <si>
    <t>Cost/Hour</t>
  </si>
  <si>
    <t>Cost/Bushel</t>
  </si>
  <si>
    <t>Cost/Tonne</t>
  </si>
  <si>
    <t>OPERATING COSTS</t>
  </si>
  <si>
    <t>Repair Costs</t>
  </si>
  <si>
    <t>Labour</t>
  </si>
  <si>
    <t>Power Costs</t>
  </si>
  <si>
    <t>TOTAL OPERATING COSTS</t>
  </si>
  <si>
    <t>FIXED COSTS</t>
  </si>
  <si>
    <t>Depreciation</t>
  </si>
  <si>
    <t>Investment Cost</t>
  </si>
  <si>
    <t>TOTAL FIXED COSTS</t>
  </si>
  <si>
    <t>TOTAL COSTS</t>
  </si>
  <si>
    <t>DRYER TYPE:</t>
  </si>
  <si>
    <t>GRAIN TYPE:</t>
  </si>
  <si>
    <t>DRYING RATE:</t>
  </si>
  <si>
    <t>Canola</t>
  </si>
  <si>
    <t>Holding Capacity of Dryer</t>
  </si>
  <si>
    <t>Dryer Type</t>
  </si>
  <si>
    <t>Grain Type</t>
  </si>
  <si>
    <t>Drying Rate in Tonnes per Hour</t>
  </si>
  <si>
    <t xml:space="preserve">Name of Farmer:  </t>
  </si>
  <si>
    <t xml:space="preserve">Mailing Address:  </t>
  </si>
  <si>
    <t xml:space="preserve">Phone Number:  </t>
  </si>
  <si>
    <t xml:space="preserve">Municipality :  </t>
  </si>
  <si>
    <t xml:space="preserve">Date Completed:  </t>
  </si>
  <si>
    <t xml:space="preserve">Prepared By:  </t>
  </si>
  <si>
    <t xml:space="preserve">Phone Number: </t>
  </si>
  <si>
    <t>Crop Drying Cost Report</t>
  </si>
  <si>
    <t>Flax</t>
  </si>
  <si>
    <t>Drying Temp.:</t>
  </si>
  <si>
    <t>Ambient Temp.:</t>
  </si>
  <si>
    <t>Cost of Auxiliary Equipment (augers, foundations, electrical service, etc.)</t>
  </si>
  <si>
    <t>Crop Drying Cost Report - Input Data</t>
  </si>
  <si>
    <t>Crop Drying Cost Report - Assumptions</t>
  </si>
  <si>
    <t>Crop Drying Cost Report - Coefficients</t>
  </si>
  <si>
    <t>Final Moisture Content:</t>
  </si>
  <si>
    <t>Initial Moisture Content:</t>
  </si>
  <si>
    <t>Basic Fuel Consumption</t>
  </si>
  <si>
    <t>(1 to 5)…</t>
  </si>
  <si>
    <t>Total Overdrying Cost</t>
  </si>
  <si>
    <t>. . . . . . . . . . . . . . . . . . . . . . . . . . . . . . . . . . . . . . . . . . . .</t>
  </si>
  <si>
    <t>Guidelines for Estimating</t>
  </si>
  <si>
    <t>Based on Batch or Continuous Flow Dryers</t>
  </si>
  <si>
    <t>Grain Drying Cost Calculator</t>
  </si>
  <si>
    <t>Depreciation rate on dryer</t>
  </si>
  <si>
    <t>Depreciation rate on surge bins</t>
  </si>
  <si>
    <t>Investment Rate (%)</t>
  </si>
  <si>
    <t>Fuel consumptions based on PAMI test reports and CSAE paper 84-211 "Heated Air Grain Dryer Performance".</t>
  </si>
  <si>
    <r>
      <t>Note:</t>
    </r>
    <r>
      <rPr>
        <sz val="12"/>
        <rFont val="Arial"/>
        <family val="2"/>
      </rPr>
      <t xml:space="preserve">  Fuel consumptions on individual dryers may vary as much as 25% from the averages used in this program. See individual PAMI test reports for comparisons between dryers.</t>
    </r>
  </si>
  <si>
    <t>Carbon Tax</t>
  </si>
  <si>
    <r>
      <t>/tonne CO</t>
    </r>
    <r>
      <rPr>
        <vertAlign val="subscript"/>
        <sz val="10"/>
        <rFont val="Arial"/>
        <family val="2"/>
      </rPr>
      <t>2</t>
    </r>
  </si>
  <si>
    <r>
      <t>Carbon Tax Rate ($/tonne CO</t>
    </r>
    <r>
      <rPr>
        <vertAlign val="subscript"/>
        <sz val="10"/>
        <rFont val="Arial"/>
        <family val="2"/>
      </rPr>
      <t>2</t>
    </r>
    <r>
      <rPr>
        <sz val="10"/>
        <rFont val="Arial"/>
        <family val="2"/>
      </rPr>
      <t>)</t>
    </r>
  </si>
  <si>
    <t>Changelog: Propane fuel use and carbon tax implications</t>
  </si>
  <si>
    <t>Check</t>
  </si>
  <si>
    <t xml:space="preserve">check </t>
  </si>
  <si>
    <t>//simple vlook-up table from coefficient tab based on input data</t>
  </si>
  <si>
    <t>//Reference input data</t>
  </si>
  <si>
    <t>//Command</t>
  </si>
  <si>
    <t>//input cell</t>
  </si>
  <si>
    <t xml:space="preserve">//Added </t>
  </si>
  <si>
    <t>//Previous February 2021</t>
  </si>
  <si>
    <t>//Output - shows either dryer type, m3 or converts bu to m3</t>
  </si>
  <si>
    <t>//Output - shows either dryer type, t/hr or converts bu/hr to tonne/hr</t>
  </si>
  <si>
    <t>sunflower (5) conversion needs to be fixed 1/73.487 = 0.013607, not 0.0102</t>
  </si>
  <si>
    <t>wheat and corn works</t>
  </si>
  <si>
    <t>//Set price to current hydro rates in the equation</t>
  </si>
  <si>
    <t>//????</t>
  </si>
  <si>
    <t>Seems like a low ROI</t>
  </si>
  <si>
    <t>Costs seems reasonable range</t>
  </si>
  <si>
    <t>//assume calculations are correct</t>
  </si>
  <si>
    <t>Column D</t>
  </si>
  <si>
    <t>Column E</t>
  </si>
  <si>
    <t>Column F</t>
  </si>
  <si>
    <t>//apply cost assumption of 1.5%/100 hr</t>
  </si>
  <si>
    <t>//reference input data</t>
  </si>
  <si>
    <t>//calculated power costs</t>
  </si>
  <si>
    <t>Cost of Natural Gas ($/m3)</t>
  </si>
  <si>
    <t>/m3</t>
  </si>
  <si>
    <t>//Set price to current propane rates in the equation (Propane 24000BTU/L)</t>
  </si>
  <si>
    <t>Other considerations, efficiency, fuel conversion, captial investment differences</t>
  </si>
  <si>
    <t>//calculated propane costs</t>
  </si>
  <si>
    <t>//reverse propane cost calculation</t>
  </si>
  <si>
    <t>//Need to adjust for different fuels</t>
  </si>
  <si>
    <t>&gt;&gt;&gt;</t>
  </si>
  <si>
    <t>//conversion tonne to bu (column F)</t>
  </si>
  <si>
    <t xml:space="preserve">Efficiency - in what form? </t>
  </si>
  <si>
    <t>E/wt of water?</t>
  </si>
  <si>
    <t xml:space="preserve">Fuel conversions - easy to do </t>
  </si>
  <si>
    <t>Capital cost - what does it include? Previous calculator didn't reference any Propane specific capital cost</t>
  </si>
  <si>
    <t>"# of commands"</t>
  </si>
  <si>
    <t>current - 4</t>
  </si>
  <si>
    <t>Cases</t>
  </si>
  <si>
    <t xml:space="preserve">new -5 </t>
  </si>
  <si>
    <t>Lots of troubleshooting required</t>
  </si>
  <si>
    <t>Does not include efficiency, fuel conversion and capital investment</t>
  </si>
  <si>
    <t>//calculated repair cost</t>
  </si>
  <si>
    <t>//calculated labour costs</t>
  </si>
  <si>
    <t>//calculated depreciation cost</t>
  </si>
  <si>
    <t>//calculated investment cost</t>
  </si>
  <si>
    <t>//simple cost*depreciation rate calc</t>
  </si>
  <si>
    <t>//Sum of cost * investment rate (not sure what the 0.6 is?)</t>
  </si>
  <si>
    <t>//sum of costs</t>
  </si>
  <si>
    <t>//Estimates overdrying costs based on drying %</t>
  </si>
  <si>
    <t>Suggestion - remove all unit conversion until the end (factor for 4)</t>
  </si>
  <si>
    <t>//calculated propane costs (need to vary for fuel)</t>
  </si>
  <si>
    <t>M3 option</t>
  </si>
  <si>
    <t>BU option</t>
  </si>
  <si>
    <t>Cont option</t>
  </si>
  <si>
    <t>Sunflower</t>
  </si>
  <si>
    <t>Dryer Option (2)</t>
  </si>
  <si>
    <t>Grain type (5)</t>
  </si>
  <si>
    <t>Fuel (2)</t>
  </si>
  <si>
    <t>Propane</t>
  </si>
  <si>
    <t>Natural gas</t>
  </si>
  <si>
    <t>"(Not accurate, since the psuedocode is layered differently)"</t>
  </si>
  <si>
    <t>//Issues with changing to tonne/hour due to hidden cell F57 in input data tab</t>
  </si>
  <si>
    <t>NEW Seems high, superior propane provided prices 47-60 c/L with an average of 55c/L in spring 2021</t>
  </si>
  <si>
    <t>Fuel Type</t>
  </si>
  <si>
    <t>NEW - //command for fuel type</t>
  </si>
  <si>
    <t>Natural Gas</t>
  </si>
  <si>
    <t>NEW - added natural gas cost</t>
  </si>
  <si>
    <t>NEW - added natural gas use</t>
  </si>
  <si>
    <t>NEW - added natural gas carbon tax</t>
  </si>
  <si>
    <t>FUEL TYPE:</t>
  </si>
  <si>
    <t>//New information line</t>
  </si>
  <si>
    <t>New assumptions</t>
  </si>
  <si>
    <t xml:space="preserve">Propane </t>
  </si>
  <si>
    <t>53.12 kg/ 1000 ft3</t>
  </si>
  <si>
    <t>L</t>
  </si>
  <si>
    <t xml:space="preserve">Natural use (m3) is calculated by assuming the same amount of energy is consumed </t>
  </si>
  <si>
    <t>24,000 BTU/L</t>
  </si>
  <si>
    <t>35,300 BTU/m3</t>
  </si>
  <si>
    <t>Propane comparison</t>
  </si>
  <si>
    <t>Revision Date: Sept 7, 2021</t>
  </si>
  <si>
    <t>//input cell (NEW), add 11.96c/m3 for transportation and distribution costs (NG  = 35300 BTU/m3)</t>
  </si>
  <si>
    <t xml:space="preserve">5.76 kg of CO2/US gal. </t>
  </si>
  <si>
    <t xml:space="preserve">*Notes This was </t>
  </si>
  <si>
    <t>D20 - F20 changes - Modified equation to include an 'if' statement for natural gas</t>
  </si>
  <si>
    <t xml:space="preserve">D19 changes - Modified the equation to include a natural gas component and no changes were made to the propane cost calculations. </t>
  </si>
  <si>
    <t>D21 - F21 changes - modified the carbon tax calculation to include natural gas by adding an if statement.</t>
  </si>
  <si>
    <r>
      <rPr>
        <b/>
        <sz val="10"/>
        <color indexed="8"/>
        <rFont val="Arial"/>
        <family val="2"/>
      </rPr>
      <t xml:space="preserve">Note: </t>
    </r>
    <r>
      <rPr>
        <sz val="10"/>
        <color indexed="8"/>
        <rFont val="Arial"/>
        <family val="2"/>
      </rPr>
      <t xml:space="preserve"> This budget is only a guide and is not intended  to be an in-depth study of grain drying.  Interpretation and utilization of this information is the responsibility of the user.  No liability for decisions based on this publication is assumed. If you need help with a budget, contact a Farm Management Specialist. </t>
    </r>
  </si>
  <si>
    <r>
      <rPr>
        <b/>
        <sz val="10"/>
        <color indexed="8"/>
        <rFont val="Arial"/>
        <family val="2"/>
      </rPr>
      <t xml:space="preserve">Note: </t>
    </r>
    <r>
      <rPr>
        <sz val="10"/>
        <color indexed="8"/>
        <rFont val="Arial"/>
        <family val="2"/>
      </rPr>
      <t xml:space="preserve"> This budget is only a guide and is not intended  to be an in-depth study of grain drying.  Interpretation and utilization of this information is the responsibility of the user. No liability for decisions based on this publication is assumed. If you need help with a budget, contact a Farm Management Specialist. </t>
    </r>
  </si>
  <si>
    <t>(from our 2024/25 CRG)</t>
  </si>
  <si>
    <t>Tractor cost used is $0.6205/HPh which includes fuel but no markup.</t>
  </si>
  <si>
    <t xml:space="preserve"> https://www.hydro.mb.ca/account/rates/commercial/</t>
  </si>
  <si>
    <t>1.5% per 100 hrs</t>
  </si>
  <si>
    <t>Wheat - Hard Red Spring</t>
  </si>
  <si>
    <t>**HIDE**</t>
  </si>
  <si>
    <t>Wheat - Northern Hard Red</t>
  </si>
  <si>
    <t>Wheat - Special Purpose</t>
  </si>
  <si>
    <t>Wheat - Prairie Spring</t>
  </si>
  <si>
    <t>Wheat - Winter</t>
  </si>
  <si>
    <t>Oats</t>
  </si>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</sst>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7" formatCode="&quot;$&quot;#,##0.00;\-&quot;$&quot;#,##0.00"/>
    <numFmt numFmtId="164" formatCode="&quot;$&quot;#,##0_);\(&quot;$&quot;#,##0\)"/>
    <numFmt numFmtId="165" formatCode="&quot;$&quot;#,##0.00_);\(&quot;$&quot;#,##0.00\)"/>
    <numFmt numFmtId="166" formatCode="#,##0.0_);\(#,##0.0\)"/>
    <numFmt numFmtId="167" formatCode="&quot;$&quot;#,##0.000_);\(&quot;$&quot;#,##0.000\)"/>
    <numFmt numFmtId="168" formatCode="&quot;$&quot;#,##0.0000_);\(&quot;$&quot;#,##0.0000\)"/>
    <numFmt numFmtId="169" formatCode="mmmm\ d\,\ yyyy"/>
    <numFmt numFmtId="170" formatCode="0.0%"/>
    <numFmt numFmtId="171" formatCode="0\ \°\C"/>
    <numFmt numFmtId="172" formatCode="&quot;$&quot;#,##0.00"/>
    <numFmt numFmtId="173" formatCode="#,##0.00_ ;\-#,##0.00\ "/>
    <numFmt numFmtId="174" formatCode="&quot;$&quot;#,##0.00000_);\(&quot;$&quot;#,##0.00000\)"/>
    <numFmt numFmtId="175" formatCode="0.0"/>
    <numFmt numFmtId="176" formatCode="0.000"/>
  </numFmts>
  <fonts count="45" x14ac:knownFonts="1">
    <font>
      <sz val="10"/>
      <name val="Courier"/>
    </font>
    <font>
      <sz val="10"/>
      <name val="Arial"/>
      <family val="2"/>
    </font>
    <font>
      <sz val="10"/>
      <name val="Arial"/>
      <family val="2"/>
    </font>
    <font>
      <sz val="10"/>
      <color indexed="12"/>
      <name val="Arial"/>
      <family val="2"/>
    </font>
    <font>
      <b/>
      <sz val="10"/>
      <name val="Arial"/>
      <family val="2"/>
    </font>
    <font>
      <b/>
      <sz val="10"/>
      <color indexed="12"/>
      <name val="Arial"/>
      <family val="2"/>
    </font>
    <font>
      <sz val="8"/>
      <color indexed="81"/>
      <name val="Tahoma"/>
      <family val="2"/>
    </font>
    <font>
      <b/>
      <sz val="8"/>
      <color indexed="81"/>
      <name val="Tahoma"/>
      <family val="2"/>
    </font>
    <font>
      <b/>
      <sz val="10"/>
      <name val="Courier"/>
      <family val="3"/>
    </font>
    <font>
      <b/>
      <sz val="12"/>
      <name val="Arial"/>
      <family val="2"/>
    </font>
    <font>
      <b/>
      <sz val="12"/>
      <name val="Courier"/>
      <family val="3"/>
    </font>
    <font>
      <i/>
      <sz val="10"/>
      <name val="Arial"/>
      <family val="2"/>
    </font>
    <font>
      <b/>
      <sz val="12"/>
      <color indexed="12"/>
      <name val="Arial"/>
      <family val="2"/>
    </font>
    <font>
      <sz val="26"/>
      <color indexed="10"/>
      <name val="Times New Roman"/>
      <family val="1"/>
    </font>
    <font>
      <b/>
      <sz val="14"/>
      <name val="Arial"/>
      <family val="2"/>
    </font>
    <font>
      <b/>
      <sz val="14"/>
      <name val="Courier"/>
      <family val="3"/>
    </font>
    <font>
      <sz val="14"/>
      <name val="Arial"/>
      <family val="2"/>
    </font>
    <font>
      <sz val="12"/>
      <name val="Arial"/>
      <family val="2"/>
    </font>
    <font>
      <sz val="12"/>
      <name val="Courier"/>
      <family val="3"/>
    </font>
    <font>
      <i/>
      <sz val="8"/>
      <name val="Arial"/>
      <family val="2"/>
    </font>
    <font>
      <i/>
      <sz val="8"/>
      <color indexed="12"/>
      <name val="Arial"/>
      <family val="2"/>
    </font>
    <font>
      <sz val="10"/>
      <name val="Courier"/>
      <family val="3"/>
    </font>
    <font>
      <sz val="10"/>
      <color indexed="8"/>
      <name val="Arial"/>
      <family val="2"/>
    </font>
    <font>
      <b/>
      <sz val="10"/>
      <color indexed="8"/>
      <name val="Arial"/>
      <family val="2"/>
    </font>
    <font>
      <sz val="22"/>
      <name val="Arial"/>
      <family val="2"/>
    </font>
    <font>
      <b/>
      <sz val="12"/>
      <name val="Courier"/>
      <family val="3"/>
    </font>
    <font>
      <sz val="12"/>
      <name val="Courier"/>
      <family val="3"/>
    </font>
    <font>
      <vertAlign val="subscript"/>
      <sz val="10"/>
      <name val="Arial"/>
      <family val="2"/>
    </font>
    <font>
      <sz val="11"/>
      <color rgb="FF3F3F76"/>
      <name val="Calibri"/>
      <family val="2"/>
      <scheme val="minor"/>
    </font>
    <font>
      <b/>
      <sz val="11"/>
      <color rgb="FF3F3F3F"/>
      <name val="Calibri"/>
      <family val="2"/>
      <scheme val="minor"/>
    </font>
    <font>
      <sz val="11"/>
      <color rgb="FFFF0000"/>
      <name val="Calibri"/>
      <family val="2"/>
      <scheme val="minor"/>
    </font>
    <font>
      <sz val="10"/>
      <color rgb="FF000000"/>
      <name val="Arial"/>
      <family val="2"/>
    </font>
    <font>
      <sz val="10"/>
      <color rgb="FFFF0000"/>
      <name val="Arial"/>
      <family val="2"/>
    </font>
    <font>
      <sz val="12"/>
      <color rgb="FFFF0000"/>
      <name val="Arial"/>
      <family val="2"/>
    </font>
    <font>
      <sz val="10"/>
      <color rgb="FFFFFF00"/>
      <name val="Arial"/>
      <family val="2"/>
    </font>
    <font>
      <sz val="10"/>
      <color rgb="FFFF0000"/>
      <name val="Courier"/>
      <family val="3"/>
    </font>
    <font>
      <sz val="12"/>
      <color theme="6"/>
      <name val="Arial"/>
      <family val="2"/>
    </font>
    <font>
      <sz val="10"/>
      <color theme="6"/>
      <name val="Arial"/>
      <family val="2"/>
    </font>
    <font>
      <sz val="16"/>
      <color rgb="FF333399"/>
      <name val="Arial"/>
      <family val="2"/>
    </font>
    <font>
      <b/>
      <sz val="20"/>
      <color rgb="FF333399"/>
      <name val="Arial"/>
      <family val="2"/>
    </font>
    <font>
      <b/>
      <sz val="14"/>
      <color theme="0"/>
      <name val="Arial"/>
      <family val="2"/>
    </font>
    <font>
      <b/>
      <sz val="10"/>
      <color rgb="FFFF0000"/>
      <name val="Arial"/>
      <family val="2"/>
    </font>
    <font>
      <b/>
      <sz val="10"/>
      <color rgb="FFFF0000"/>
      <name val="Courier"/>
      <family val="3"/>
    </font>
    <font>
      <b/>
      <sz val="11"/>
      <color theme="1"/>
      <name val="Arial"/>
      <family val="2"/>
    </font>
    <font>
      <b/>
      <u/>
      <sz val="12"/>
      <color rgb="FF0000FF"/>
      <name val="Arial"/>
      <family val="2"/>
    </font>
  </fonts>
  <fills count="11">
    <fill>
      <patternFill patternType="none"/>
    </fill>
    <fill>
      <patternFill patternType="gray125"/>
    </fill>
    <fill>
      <patternFill patternType="solid">
        <fgColor indexed="9"/>
        <bgColor indexed="64"/>
      </patternFill>
    </fill>
    <fill>
      <patternFill patternType="solid">
        <fgColor rgb="FFF2F2F2"/>
      </patternFill>
    </fill>
    <fill>
      <patternFill patternType="solid">
        <fgColor rgb="FFFFCC99"/>
      </patternFill>
    </fill>
    <fill>
      <patternFill patternType="solid">
        <fgColor rgb="FFFFFFCC"/>
      </patternFill>
    </fill>
    <fill>
      <patternFill patternType="solid">
        <fgColor theme="0" tint="-0.14996795556505021"/>
        <bgColor indexed="64"/>
      </patternFill>
    </fill>
    <fill>
      <patternFill patternType="solid">
        <fgColor theme="0" tint="-0.24994659260841701"/>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s>
  <borders count="85">
    <border>
      <left/>
      <right/>
      <top/>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style="dotted">
        <color indexed="64"/>
      </right>
      <top/>
      <bottom style="dotted">
        <color indexed="64"/>
      </bottom>
      <diagonal/>
    </border>
    <border>
      <left style="dotted">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medium">
        <color indexed="64"/>
      </right>
      <top/>
      <bottom/>
      <diagonal/>
    </border>
    <border>
      <left style="dotted">
        <color indexed="64"/>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medium">
        <color indexed="64"/>
      </right>
      <top/>
      <bottom style="medium">
        <color indexed="64"/>
      </bottom>
      <diagonal/>
    </border>
    <border>
      <left style="hair">
        <color indexed="64"/>
      </left>
      <right style="medium">
        <color indexed="64"/>
      </right>
      <top/>
      <bottom/>
      <diagonal/>
    </border>
    <border>
      <left style="dotted">
        <color indexed="64"/>
      </left>
      <right/>
      <top style="dotted">
        <color indexed="64"/>
      </top>
      <bottom style="dotted">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right style="thin">
        <color indexed="64"/>
      </right>
      <top/>
      <bottom/>
      <diagonal/>
    </border>
    <border>
      <left/>
      <right style="medium">
        <color indexed="64"/>
      </right>
      <top style="dotted">
        <color indexed="64"/>
      </top>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medium">
        <color indexed="64"/>
      </left>
      <right/>
      <top/>
      <bottom/>
      <diagonal/>
    </border>
    <border>
      <left style="dotted">
        <color indexed="64"/>
      </left>
      <right style="dotted">
        <color indexed="64"/>
      </right>
      <top style="dotted">
        <color indexed="64"/>
      </top>
      <bottom/>
      <diagonal/>
    </border>
    <border>
      <left style="medium">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dotted">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top style="dotted">
        <color indexed="64"/>
      </top>
      <bottom style="medium">
        <color indexed="64"/>
      </bottom>
      <diagonal/>
    </border>
    <border>
      <left style="medium">
        <color indexed="64"/>
      </left>
      <right/>
      <top style="thin">
        <color indexed="64"/>
      </top>
      <bottom/>
      <diagonal/>
    </border>
    <border>
      <left/>
      <right style="dotted">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s>
  <cellStyleXfs count="6">
    <xf numFmtId="0" fontId="0" fillId="0" borderId="0"/>
    <xf numFmtId="164" fontId="3" fillId="0" borderId="1">
      <protection locked="0"/>
    </xf>
    <xf numFmtId="37" fontId="3" fillId="2" borderId="1">
      <protection locked="0"/>
    </xf>
    <xf numFmtId="0" fontId="28" fillId="4" borderId="79" applyNumberFormat="0" applyAlignment="0" applyProtection="0"/>
    <xf numFmtId="0" fontId="21" fillId="5" borderId="80" applyNumberFormat="0" applyFont="0" applyAlignment="0" applyProtection="0"/>
    <xf numFmtId="0" fontId="29" fillId="3" borderId="81" applyNumberFormat="0" applyAlignment="0" applyProtection="0"/>
  </cellStyleXfs>
  <cellXfs count="287">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right"/>
    </xf>
    <xf numFmtId="0" fontId="2" fillId="0" borderId="0" xfId="0" applyFont="1" applyAlignment="1">
      <alignment horizontal="fill"/>
    </xf>
    <xf numFmtId="0" fontId="0" fillId="0" borderId="0" xfId="0" applyAlignment="1">
      <alignment vertical="center"/>
    </xf>
    <xf numFmtId="0" fontId="16"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xf>
    <xf numFmtId="7" fontId="14" fillId="0" borderId="0" xfId="0" applyNumberFormat="1" applyFont="1" applyAlignment="1">
      <alignment vertical="center"/>
    </xf>
    <xf numFmtId="172" fontId="14" fillId="0" borderId="0" xfId="0" applyNumberFormat="1" applyFont="1" applyAlignment="1">
      <alignment vertical="center"/>
    </xf>
    <xf numFmtId="0" fontId="2" fillId="0" borderId="0" xfId="0" applyFont="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vertical="center"/>
    </xf>
    <xf numFmtId="0" fontId="2" fillId="0" borderId="5"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vertical="center"/>
    </xf>
    <xf numFmtId="166" fontId="5" fillId="0" borderId="3" xfId="0" applyNumberFormat="1" applyFont="1" applyBorder="1" applyAlignment="1" applyProtection="1">
      <alignment vertical="center"/>
      <protection locked="0"/>
    </xf>
    <xf numFmtId="0" fontId="2" fillId="0" borderId="10" xfId="0" applyFont="1" applyBorder="1" applyAlignment="1">
      <alignment horizontal="left" vertical="center"/>
    </xf>
    <xf numFmtId="0" fontId="2" fillId="0" borderId="11" xfId="0" applyFont="1" applyBorder="1" applyAlignment="1">
      <alignment vertical="center"/>
    </xf>
    <xf numFmtId="166" fontId="5" fillId="0" borderId="12" xfId="0" applyNumberFormat="1" applyFont="1" applyBorder="1" applyAlignment="1" applyProtection="1">
      <alignment vertical="center"/>
      <protection locked="0"/>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vertical="center"/>
    </xf>
    <xf numFmtId="39" fontId="5" fillId="0" borderId="4" xfId="0" applyNumberFormat="1" applyFont="1" applyBorder="1" applyAlignment="1" applyProtection="1">
      <alignment vertical="center"/>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4" fillId="0" borderId="17" xfId="0" applyFont="1" applyBorder="1" applyAlignment="1">
      <alignment horizontal="left" vertical="center"/>
    </xf>
    <xf numFmtId="166" fontId="5" fillId="0" borderId="0" xfId="0" applyNumberFormat="1" applyFont="1" applyAlignment="1">
      <alignmen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vertical="center"/>
    </xf>
    <xf numFmtId="167" fontId="5" fillId="0" borderId="4" xfId="0" applyNumberFormat="1" applyFont="1" applyBorder="1" applyAlignment="1" applyProtection="1">
      <alignment vertical="center"/>
      <protection locked="0"/>
    </xf>
    <xf numFmtId="37" fontId="5" fillId="0" borderId="4" xfId="0" applyNumberFormat="1" applyFont="1" applyBorder="1" applyAlignment="1" applyProtection="1">
      <alignment vertical="center"/>
      <protection locked="0"/>
    </xf>
    <xf numFmtId="0" fontId="2" fillId="0" borderId="16" xfId="0" applyFont="1" applyBorder="1" applyAlignment="1">
      <alignment vertical="center"/>
    </xf>
    <xf numFmtId="39" fontId="5" fillId="0" borderId="21" xfId="0" applyNumberFormat="1" applyFont="1" applyBorder="1" applyAlignment="1" applyProtection="1">
      <alignment vertical="center"/>
      <protection locked="0"/>
    </xf>
    <xf numFmtId="0" fontId="2" fillId="0" borderId="22" xfId="0" applyFont="1" applyBorder="1" applyAlignment="1">
      <alignment horizontal="left" vertical="center"/>
    </xf>
    <xf numFmtId="0" fontId="9" fillId="0" borderId="0" xfId="0" applyFont="1" applyAlignment="1">
      <alignment horizontal="right" vertical="center"/>
    </xf>
    <xf numFmtId="0" fontId="17" fillId="0" borderId="0" xfId="0" applyFont="1" applyAlignment="1">
      <alignment vertical="center"/>
    </xf>
    <xf numFmtId="0" fontId="9" fillId="0" borderId="0" xfId="0" applyFont="1" applyAlignment="1">
      <alignment vertical="center"/>
    </xf>
    <xf numFmtId="170" fontId="17" fillId="0" borderId="0" xfId="0" applyNumberFormat="1" applyFont="1" applyAlignment="1">
      <alignment vertical="center"/>
    </xf>
    <xf numFmtId="171" fontId="17" fillId="0" borderId="0" xfId="0" applyNumberFormat="1" applyFont="1" applyAlignment="1">
      <alignment vertical="center"/>
    </xf>
    <xf numFmtId="0" fontId="17" fillId="0" borderId="0" xfId="0" applyFont="1" applyAlignment="1">
      <alignment horizontal="left" vertical="center"/>
    </xf>
    <xf numFmtId="7" fontId="9" fillId="0" borderId="23" xfId="0" applyNumberFormat="1" applyFont="1" applyBorder="1" applyAlignment="1">
      <alignment vertical="center"/>
    </xf>
    <xf numFmtId="172" fontId="9" fillId="0" borderId="23" xfId="0" applyNumberFormat="1" applyFont="1" applyBorder="1" applyAlignment="1">
      <alignment vertical="center"/>
    </xf>
    <xf numFmtId="7" fontId="9" fillId="0" borderId="24" xfId="0" applyNumberFormat="1" applyFont="1" applyBorder="1" applyAlignment="1">
      <alignment vertical="center"/>
    </xf>
    <xf numFmtId="172" fontId="17" fillId="0" borderId="0" xfId="0" applyNumberFormat="1" applyFont="1" applyAlignment="1">
      <alignment vertical="center"/>
    </xf>
    <xf numFmtId="7" fontId="2" fillId="0" borderId="0" xfId="0" applyNumberFormat="1" applyFont="1" applyAlignment="1">
      <alignment vertical="center"/>
    </xf>
    <xf numFmtId="172" fontId="2" fillId="0" borderId="0" xfId="0" applyNumberFormat="1" applyFont="1" applyAlignment="1">
      <alignment vertical="center"/>
    </xf>
    <xf numFmtId="0" fontId="2" fillId="0" borderId="25" xfId="0" applyFont="1" applyBorder="1" applyAlignment="1">
      <alignment horizontal="center" vertical="center"/>
    </xf>
    <xf numFmtId="0" fontId="2" fillId="0" borderId="25" xfId="0" applyFont="1" applyBorder="1" applyAlignment="1">
      <alignment vertical="center"/>
    </xf>
    <xf numFmtId="0" fontId="5" fillId="0" borderId="2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8" fillId="0" borderId="0" xfId="0" applyFont="1" applyAlignment="1">
      <alignment horizontal="left" vertical="center" indent="1"/>
    </xf>
    <xf numFmtId="39" fontId="9" fillId="0" borderId="0" xfId="0" applyNumberFormat="1" applyFont="1" applyAlignment="1">
      <alignment horizontal="right" vertical="center"/>
    </xf>
    <xf numFmtId="0" fontId="2" fillId="0" borderId="27" xfId="0" applyFont="1" applyBorder="1" applyAlignment="1">
      <alignment horizontal="left" vertical="center"/>
    </xf>
    <xf numFmtId="170" fontId="17" fillId="0" borderId="0" xfId="0" applyNumberFormat="1" applyFont="1" applyAlignment="1">
      <alignment horizontal="right" vertical="center"/>
    </xf>
    <xf numFmtId="39" fontId="17" fillId="0" borderId="0" xfId="0" applyNumberFormat="1" applyFont="1" applyAlignment="1">
      <alignment horizontal="right" vertical="center"/>
    </xf>
    <xf numFmtId="0" fontId="17" fillId="0" borderId="0" xfId="0" applyFont="1" applyAlignment="1">
      <alignment horizontal="right" vertical="center"/>
    </xf>
    <xf numFmtId="39" fontId="5" fillId="0" borderId="28" xfId="0" applyNumberFormat="1" applyFont="1" applyBorder="1" applyAlignment="1" applyProtection="1">
      <alignment horizontal="right" vertical="center"/>
      <protection locked="0"/>
    </xf>
    <xf numFmtId="0" fontId="20" fillId="0" borderId="0" xfId="0" applyFont="1" applyAlignment="1">
      <alignment horizontal="center" vertical="top"/>
    </xf>
    <xf numFmtId="39" fontId="4" fillId="6" borderId="12" xfId="0" applyNumberFormat="1" applyFont="1" applyFill="1" applyBorder="1" applyAlignment="1">
      <alignment horizontal="right" vertical="center"/>
    </xf>
    <xf numFmtId="167" fontId="4" fillId="6" borderId="4" xfId="0" applyNumberFormat="1" applyFont="1" applyFill="1" applyBorder="1" applyAlignment="1">
      <alignment vertical="center"/>
    </xf>
    <xf numFmtId="39" fontId="4" fillId="6" borderId="4" xfId="0" applyNumberFormat="1" applyFont="1" applyFill="1" applyBorder="1" applyAlignment="1">
      <alignment vertical="center"/>
    </xf>
    <xf numFmtId="0" fontId="24" fillId="0" borderId="0" xfId="0" applyFont="1" applyAlignment="1">
      <alignment vertical="center"/>
    </xf>
    <xf numFmtId="0" fontId="19" fillId="0" borderId="0" xfId="0" applyFont="1" applyAlignment="1">
      <alignment vertical="center"/>
    </xf>
    <xf numFmtId="0" fontId="9" fillId="7" borderId="29" xfId="0" applyFont="1" applyFill="1" applyBorder="1" applyAlignment="1">
      <alignment horizontal="center" vertical="center"/>
    </xf>
    <xf numFmtId="0" fontId="9" fillId="7" borderId="30" xfId="0" applyFont="1" applyFill="1" applyBorder="1" applyAlignment="1">
      <alignment horizontal="center" vertical="center"/>
    </xf>
    <xf numFmtId="0" fontId="17" fillId="7" borderId="29" xfId="0" applyFont="1" applyFill="1" applyBorder="1" applyAlignment="1">
      <alignment vertical="center"/>
    </xf>
    <xf numFmtId="172" fontId="17" fillId="7" borderId="29" xfId="0" applyNumberFormat="1" applyFont="1" applyFill="1" applyBorder="1" applyAlignment="1">
      <alignment vertical="center"/>
    </xf>
    <xf numFmtId="0" fontId="17" fillId="7" borderId="30" xfId="0" applyFont="1" applyFill="1" applyBorder="1" applyAlignment="1">
      <alignment vertical="center"/>
    </xf>
    <xf numFmtId="7" fontId="17" fillId="0" borderId="31" xfId="0" applyNumberFormat="1" applyFont="1" applyBorder="1" applyAlignment="1">
      <alignment vertical="center"/>
    </xf>
    <xf numFmtId="172" fontId="17" fillId="0" borderId="31" xfId="0" applyNumberFormat="1" applyFont="1" applyBorder="1" applyAlignment="1">
      <alignment vertical="center"/>
    </xf>
    <xf numFmtId="7" fontId="17" fillId="0" borderId="32" xfId="0" applyNumberFormat="1" applyFont="1" applyBorder="1" applyAlignment="1">
      <alignment vertical="center"/>
    </xf>
    <xf numFmtId="7" fontId="17" fillId="0" borderId="23" xfId="0" applyNumberFormat="1" applyFont="1" applyBorder="1" applyAlignment="1">
      <alignment vertical="center"/>
    </xf>
    <xf numFmtId="172" fontId="17" fillId="0" borderId="23" xfId="0" applyNumberFormat="1" applyFont="1" applyBorder="1" applyAlignment="1">
      <alignment vertical="center"/>
    </xf>
    <xf numFmtId="7" fontId="17" fillId="0" borderId="24" xfId="0" applyNumberFormat="1" applyFont="1" applyBorder="1" applyAlignment="1">
      <alignment vertical="center"/>
    </xf>
    <xf numFmtId="7" fontId="9" fillId="0" borderId="25" xfId="0" applyNumberFormat="1" applyFont="1" applyBorder="1" applyAlignment="1">
      <alignment vertical="center"/>
    </xf>
    <xf numFmtId="172" fontId="9" fillId="0" borderId="25" xfId="0" applyNumberFormat="1" applyFont="1" applyBorder="1" applyAlignment="1">
      <alignment vertical="center"/>
    </xf>
    <xf numFmtId="0" fontId="17" fillId="0" borderId="25" xfId="0" applyFont="1" applyBorder="1" applyAlignment="1">
      <alignment vertical="center"/>
    </xf>
    <xf numFmtId="0" fontId="2" fillId="0" borderId="33" xfId="0" applyFont="1" applyBorder="1" applyAlignment="1">
      <alignment vertical="center"/>
    </xf>
    <xf numFmtId="173" fontId="5" fillId="0" borderId="4" xfId="0" applyNumberFormat="1" applyFont="1" applyBorder="1" applyAlignment="1" applyProtection="1">
      <alignment vertical="center"/>
      <protection locked="0"/>
    </xf>
    <xf numFmtId="0" fontId="9" fillId="0" borderId="0" xfId="0" applyFont="1" applyAlignment="1">
      <alignment horizontal="center" vertical="top"/>
    </xf>
    <xf numFmtId="0" fontId="17" fillId="0" borderId="0" xfId="0" applyFont="1"/>
    <xf numFmtId="0" fontId="17" fillId="0" borderId="0" xfId="0" applyFont="1" applyAlignment="1">
      <alignment horizontal="right"/>
    </xf>
    <xf numFmtId="0" fontId="31" fillId="0" borderId="0" xfId="0" applyFont="1" applyAlignment="1">
      <alignment readingOrder="1"/>
    </xf>
    <xf numFmtId="168" fontId="5" fillId="0" borderId="3" xfId="0" applyNumberFormat="1" applyFont="1" applyBorder="1" applyAlignment="1" applyProtection="1">
      <alignment vertical="center"/>
      <protection locked="0"/>
    </xf>
    <xf numFmtId="174" fontId="4" fillId="6" borderId="4" xfId="0" applyNumberFormat="1" applyFont="1" applyFill="1" applyBorder="1" applyAlignment="1">
      <alignment vertical="center"/>
    </xf>
    <xf numFmtId="39" fontId="5" fillId="0" borderId="0" xfId="0" applyNumberFormat="1" applyFont="1" applyAlignment="1" applyProtection="1">
      <alignment vertical="center"/>
      <protection locked="0"/>
    </xf>
    <xf numFmtId="7" fontId="9" fillId="0" borderId="30" xfId="0" applyNumberFormat="1" applyFont="1" applyBorder="1" applyAlignment="1">
      <alignment vertical="center"/>
    </xf>
    <xf numFmtId="7" fontId="9" fillId="0" borderId="29" xfId="0" applyNumberFormat="1" applyFont="1" applyBorder="1" applyAlignment="1">
      <alignment vertical="center"/>
    </xf>
    <xf numFmtId="175" fontId="17" fillId="0" borderId="31" xfId="0" applyNumberFormat="1" applyFont="1" applyBorder="1" applyAlignment="1">
      <alignment vertical="center"/>
    </xf>
    <xf numFmtId="0" fontId="1" fillId="0" borderId="0" xfId="0" applyFont="1"/>
    <xf numFmtId="0" fontId="4" fillId="0" borderId="0" xfId="0" applyFont="1"/>
    <xf numFmtId="0" fontId="28" fillId="4" borderId="79" xfId="3" applyProtection="1"/>
    <xf numFmtId="0" fontId="29" fillId="3" borderId="81" xfId="5" applyProtection="1"/>
    <xf numFmtId="0" fontId="1" fillId="0" borderId="25" xfId="0" applyFont="1" applyBorder="1" applyAlignment="1">
      <alignment vertical="center"/>
    </xf>
    <xf numFmtId="0" fontId="32" fillId="0" borderId="0" xfId="0" applyFont="1"/>
    <xf numFmtId="0" fontId="33" fillId="0" borderId="0" xfId="0" applyFont="1" applyAlignment="1">
      <alignment vertical="center"/>
    </xf>
    <xf numFmtId="0" fontId="1" fillId="0" borderId="0" xfId="0" applyFont="1" applyAlignment="1">
      <alignment vertical="center"/>
    </xf>
    <xf numFmtId="0" fontId="32" fillId="0" borderId="0" xfId="0" applyFont="1" applyAlignment="1">
      <alignment vertical="center"/>
    </xf>
    <xf numFmtId="0" fontId="32" fillId="5" borderId="80" xfId="4" applyFont="1" applyProtection="1"/>
    <xf numFmtId="0" fontId="30" fillId="5" borderId="80" xfId="4" applyFont="1" applyProtection="1"/>
    <xf numFmtId="49" fontId="2" fillId="0" borderId="0" xfId="0" applyNumberFormat="1" applyFont="1" applyAlignment="1">
      <alignment horizontal="center" vertical="center"/>
    </xf>
    <xf numFmtId="49" fontId="0" fillId="0" borderId="0" xfId="0" applyNumberFormat="1" applyAlignment="1">
      <alignment horizontal="center" vertical="center"/>
    </xf>
    <xf numFmtId="0" fontId="5" fillId="0" borderId="0" xfId="0" applyFont="1" applyAlignment="1" applyProtection="1">
      <alignment horizontal="center" vertical="center"/>
      <protection locked="0"/>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5" borderId="80" xfId="4" applyFont="1" applyAlignment="1">
      <alignment vertical="center"/>
    </xf>
    <xf numFmtId="176" fontId="2" fillId="0" borderId="0" xfId="0" applyNumberFormat="1" applyFont="1" applyAlignment="1">
      <alignment vertical="center"/>
    </xf>
    <xf numFmtId="2" fontId="2" fillId="0" borderId="0" xfId="0" applyNumberFormat="1" applyFont="1" applyAlignment="1">
      <alignment vertical="center"/>
    </xf>
    <xf numFmtId="2" fontId="17" fillId="0" borderId="31" xfId="0" applyNumberFormat="1" applyFont="1" applyBorder="1" applyAlignment="1">
      <alignment vertical="center"/>
    </xf>
    <xf numFmtId="0" fontId="34" fillId="0" borderId="0" xfId="0" applyFont="1"/>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2" fillId="0" borderId="0" xfId="0" applyFont="1" applyAlignment="1">
      <alignment readingOrder="1"/>
    </xf>
    <xf numFmtId="0" fontId="17" fillId="0" borderId="77" xfId="0" applyFont="1" applyBorder="1" applyAlignment="1">
      <alignment horizontal="left" vertical="center"/>
    </xf>
    <xf numFmtId="0" fontId="18" fillId="0" borderId="0" xfId="0" applyFont="1" applyAlignment="1">
      <alignment vertical="center"/>
    </xf>
    <xf numFmtId="165" fontId="17" fillId="0" borderId="23" xfId="0" applyNumberFormat="1" applyFont="1" applyBorder="1" applyAlignment="1">
      <alignment vertical="center"/>
    </xf>
    <xf numFmtId="175" fontId="17" fillId="0" borderId="82" xfId="0" applyNumberFormat="1" applyFont="1" applyBorder="1" applyAlignment="1">
      <alignment vertical="center"/>
    </xf>
    <xf numFmtId="165" fontId="17" fillId="0" borderId="83" xfId="0" applyNumberFormat="1" applyFont="1" applyBorder="1" applyAlignment="1">
      <alignment vertical="center"/>
    </xf>
    <xf numFmtId="7" fontId="9" fillId="0" borderId="84" xfId="0" applyNumberFormat="1" applyFont="1" applyBorder="1" applyAlignment="1">
      <alignment vertical="center"/>
    </xf>
    <xf numFmtId="0" fontId="1" fillId="9" borderId="0" xfId="0" applyFont="1" applyFill="1"/>
    <xf numFmtId="0" fontId="2" fillId="9" borderId="0" xfId="0" applyFont="1" applyFill="1"/>
    <xf numFmtId="9" fontId="2" fillId="9" borderId="0" xfId="0" applyNumberFormat="1" applyFont="1" applyFill="1"/>
    <xf numFmtId="7" fontId="5" fillId="0" borderId="6" xfId="0" applyNumberFormat="1" applyFont="1" applyBorder="1" applyAlignment="1" applyProtection="1">
      <alignment vertical="center"/>
      <protection locked="0"/>
    </xf>
    <xf numFmtId="0" fontId="1" fillId="0" borderId="16" xfId="0" applyFont="1" applyBorder="1" applyAlignment="1">
      <alignment horizontal="left" vertical="center"/>
    </xf>
    <xf numFmtId="167" fontId="4" fillId="10" borderId="4" xfId="0" applyNumberFormat="1" applyFont="1" applyFill="1" applyBorder="1" applyAlignment="1">
      <alignment vertical="center"/>
    </xf>
    <xf numFmtId="164" fontId="5" fillId="0" borderId="4" xfId="0" applyNumberFormat="1" applyFont="1" applyBorder="1" applyAlignment="1" applyProtection="1">
      <alignment vertical="center"/>
      <protection locked="0"/>
    </xf>
    <xf numFmtId="7" fontId="5" fillId="0" borderId="4" xfId="0" applyNumberFormat="1" applyFont="1" applyBorder="1" applyAlignment="1" applyProtection="1">
      <alignment vertical="center"/>
      <protection locked="0"/>
    </xf>
    <xf numFmtId="5" fontId="5" fillId="0" borderId="4" xfId="0" applyNumberFormat="1" applyFont="1" applyBorder="1" applyAlignment="1" applyProtection="1">
      <alignment vertical="center"/>
      <protection locked="0"/>
    </xf>
    <xf numFmtId="175" fontId="0" fillId="0" borderId="0" xfId="0" applyNumberFormat="1"/>
    <xf numFmtId="172" fontId="0" fillId="0" borderId="0" xfId="0" applyNumberFormat="1"/>
    <xf numFmtId="0" fontId="44" fillId="0" borderId="0" xfId="0" applyFont="1" applyAlignment="1">
      <alignment horizontal="left" vertical="top"/>
    </xf>
    <xf numFmtId="0" fontId="0" fillId="9" borderId="0" xfId="0" applyFill="1"/>
    <xf numFmtId="0" fontId="12" fillId="0" borderId="1" xfId="0" applyFont="1" applyBorder="1" applyAlignment="1" applyProtection="1">
      <alignment vertical="center"/>
      <protection locked="0"/>
    </xf>
    <xf numFmtId="0" fontId="11" fillId="0" borderId="0" xfId="0" applyFont="1" applyAlignment="1">
      <alignment horizontal="right" vertical="center"/>
    </xf>
    <xf numFmtId="169" fontId="12" fillId="0" borderId="1" xfId="0" applyNumberFormat="1" applyFont="1" applyBorder="1" applyAlignment="1" applyProtection="1">
      <alignment horizontal="left" vertical="center"/>
      <protection locked="0"/>
    </xf>
    <xf numFmtId="0" fontId="38" fillId="0" borderId="0" xfId="0" applyFont="1" applyAlignment="1">
      <alignment horizontal="center" vertical="center"/>
    </xf>
    <xf numFmtId="0" fontId="0" fillId="0" borderId="34" xfId="0" applyBorder="1" applyAlignment="1">
      <alignment horizontal="center" vertical="center" wrapText="1"/>
    </xf>
    <xf numFmtId="37" fontId="12" fillId="2" borderId="1" xfId="2" applyFont="1" applyAlignment="1">
      <alignment vertical="center"/>
      <protection locked="0"/>
    </xf>
    <xf numFmtId="0" fontId="22" fillId="0" borderId="0" xfId="0" applyFont="1" applyAlignment="1">
      <alignment horizontal="left" vertical="center" wrapText="1" readingOrder="1"/>
    </xf>
    <xf numFmtId="0" fontId="31" fillId="0" borderId="0" xfId="0" applyFont="1" applyAlignment="1">
      <alignment horizontal="left" vertical="center" wrapText="1" readingOrder="1"/>
    </xf>
    <xf numFmtId="0" fontId="0" fillId="0" borderId="35" xfId="0" applyBorder="1" applyAlignment="1">
      <alignment vertical="center" wrapText="1"/>
    </xf>
    <xf numFmtId="0" fontId="0" fillId="0" borderId="0" xfId="0" applyAlignment="1">
      <alignment vertical="center"/>
    </xf>
    <xf numFmtId="0" fontId="12" fillId="0" borderId="36" xfId="0" applyFont="1" applyBorder="1" applyAlignment="1" applyProtection="1">
      <alignment vertical="center"/>
      <protection locked="0"/>
    </xf>
    <xf numFmtId="0" fontId="12" fillId="0" borderId="37" xfId="0" applyFont="1" applyBorder="1" applyAlignment="1" applyProtection="1">
      <alignment vertical="center"/>
      <protection locked="0"/>
    </xf>
    <xf numFmtId="0" fontId="12" fillId="0" borderId="38" xfId="0" applyFont="1" applyBorder="1" applyAlignment="1" applyProtection="1">
      <alignment vertical="center"/>
      <protection locked="0"/>
    </xf>
    <xf numFmtId="0" fontId="13" fillId="0" borderId="0" xfId="0" applyFont="1" applyAlignment="1">
      <alignment horizontal="left" vertical="center"/>
    </xf>
    <xf numFmtId="0" fontId="39" fillId="0" borderId="0" xfId="0" applyFont="1" applyAlignment="1">
      <alignment horizontal="center" vertical="center"/>
    </xf>
    <xf numFmtId="0" fontId="2" fillId="0" borderId="0" xfId="0" applyFont="1" applyAlignment="1">
      <alignment vertical="center"/>
    </xf>
    <xf numFmtId="0" fontId="0" fillId="0" borderId="20"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2" fillId="0" borderId="39" xfId="0" applyFont="1" applyBorder="1" applyAlignment="1">
      <alignment horizontal="left" vertical="center"/>
    </xf>
    <xf numFmtId="0" fontId="0" fillId="0" borderId="40" xfId="0" applyBorder="1" applyAlignment="1">
      <alignment vertical="center"/>
    </xf>
    <xf numFmtId="0" fontId="2" fillId="0" borderId="41" xfId="0" applyFont="1" applyBorder="1" applyAlignment="1">
      <alignment horizontal="left" vertical="center"/>
    </xf>
    <xf numFmtId="0" fontId="0" fillId="0" borderId="11" xfId="0" applyBorder="1" applyAlignment="1">
      <alignment vertical="center"/>
    </xf>
    <xf numFmtId="0" fontId="9" fillId="7" borderId="55" xfId="0" applyFont="1" applyFill="1" applyBorder="1" applyAlignment="1">
      <alignment horizontal="left" vertical="center"/>
    </xf>
    <xf numFmtId="0" fontId="9" fillId="7" borderId="56" xfId="0" applyFont="1" applyFill="1" applyBorder="1" applyAlignment="1">
      <alignment horizontal="left" vertical="center"/>
    </xf>
    <xf numFmtId="0" fontId="9" fillId="7" borderId="57" xfId="0" applyFont="1" applyFill="1" applyBorder="1" applyAlignment="1">
      <alignment horizontal="left" vertical="center"/>
    </xf>
    <xf numFmtId="0" fontId="10" fillId="7" borderId="56" xfId="0" applyFont="1" applyFill="1" applyBorder="1" applyAlignment="1">
      <alignment vertical="center"/>
    </xf>
    <xf numFmtId="0" fontId="0" fillId="7" borderId="56" xfId="0" applyFill="1" applyBorder="1" applyAlignment="1">
      <alignment vertical="center"/>
    </xf>
    <xf numFmtId="0" fontId="0" fillId="7" borderId="57" xfId="0" applyFill="1" applyBorder="1" applyAlignment="1">
      <alignment vertical="center"/>
    </xf>
    <xf numFmtId="0" fontId="2" fillId="0" borderId="4" xfId="0" applyFont="1" applyBorder="1" applyAlignment="1">
      <alignment vertical="center"/>
    </xf>
    <xf numFmtId="0" fontId="2" fillId="0" borderId="8" xfId="0" applyFont="1" applyBorder="1" applyAlignment="1">
      <alignment horizontal="left"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3" xfId="0" applyFont="1" applyBorder="1" applyAlignment="1">
      <alignment vertical="center"/>
    </xf>
    <xf numFmtId="0" fontId="2" fillId="0" borderId="60" xfId="0" applyFont="1" applyBorder="1" applyAlignment="1">
      <alignment vertical="center"/>
    </xf>
    <xf numFmtId="0" fontId="2" fillId="0" borderId="12" xfId="0" applyFont="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0" fontId="2" fillId="0" borderId="68" xfId="0" applyFont="1" applyBorder="1" applyAlignment="1">
      <alignment vertical="center"/>
    </xf>
    <xf numFmtId="0" fontId="2" fillId="0" borderId="42" xfId="0" applyFont="1" applyBorder="1" applyAlignment="1">
      <alignment vertical="center"/>
    </xf>
    <xf numFmtId="0" fontId="2" fillId="0" borderId="41" xfId="0" applyFont="1" applyBorder="1" applyAlignment="1">
      <alignment vertical="center"/>
    </xf>
    <xf numFmtId="0" fontId="2" fillId="0" borderId="73" xfId="0" applyFont="1" applyBorder="1" applyAlignment="1">
      <alignment horizontal="left" vertical="center"/>
    </xf>
    <xf numFmtId="0" fontId="0" fillId="0" borderId="5" xfId="0" applyBorder="1" applyAlignment="1">
      <alignment vertical="center"/>
    </xf>
    <xf numFmtId="0" fontId="0" fillId="0" borderId="42" xfId="0" applyBorder="1" applyAlignment="1">
      <alignment vertical="center"/>
    </xf>
    <xf numFmtId="0" fontId="0" fillId="0" borderId="41" xfId="0" applyBorder="1" applyAlignment="1">
      <alignment vertical="center"/>
    </xf>
    <xf numFmtId="0" fontId="2" fillId="0" borderId="43" xfId="0" applyFont="1" applyBorder="1" applyAlignment="1">
      <alignment horizontal="center" vertical="center"/>
    </xf>
    <xf numFmtId="0" fontId="0" fillId="0" borderId="43" xfId="0" applyBorder="1" applyAlignment="1">
      <alignment vertical="center"/>
    </xf>
    <xf numFmtId="0" fontId="0" fillId="0" borderId="3" xfId="0" applyBorder="1" applyAlignment="1">
      <alignment vertical="center"/>
    </xf>
    <xf numFmtId="0" fontId="2" fillId="0" borderId="44" xfId="0" applyFont="1" applyBorder="1" applyAlignment="1">
      <alignment horizontal="left" vertical="center"/>
    </xf>
    <xf numFmtId="0" fontId="0" fillId="0" borderId="45" xfId="0" applyBorder="1" applyAlignment="1">
      <alignment vertical="center"/>
    </xf>
    <xf numFmtId="0" fontId="0" fillId="0" borderId="46" xfId="0" applyBorder="1" applyAlignment="1">
      <alignment vertical="center"/>
    </xf>
    <xf numFmtId="0" fontId="0" fillId="0" borderId="8" xfId="0" applyBorder="1" applyAlignment="1">
      <alignment vertical="center"/>
    </xf>
    <xf numFmtId="0" fontId="0" fillId="0" borderId="18" xfId="0" applyBorder="1" applyAlignment="1">
      <alignment vertical="center"/>
    </xf>
    <xf numFmtId="0" fontId="4" fillId="0" borderId="47" xfId="0" applyFont="1" applyBorder="1" applyAlignment="1">
      <alignment horizontal="right" vertical="center"/>
    </xf>
    <xf numFmtId="0" fontId="8" fillId="0" borderId="48" xfId="0" applyFont="1" applyBorder="1" applyAlignment="1">
      <alignment horizontal="right" vertical="center"/>
    </xf>
    <xf numFmtId="0" fontId="8" fillId="0" borderId="49" xfId="0" applyFont="1" applyBorder="1" applyAlignment="1">
      <alignment horizontal="righ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8" xfId="0" applyFont="1" applyBorder="1" applyAlignment="1">
      <alignment horizontal="left" vertical="center"/>
    </xf>
    <xf numFmtId="0" fontId="40" fillId="8" borderId="50" xfId="0" applyFont="1" applyFill="1" applyBorder="1" applyAlignment="1">
      <alignment horizontal="center" vertical="center"/>
    </xf>
    <xf numFmtId="0" fontId="40" fillId="8" borderId="17" xfId="0" applyFont="1" applyFill="1" applyBorder="1" applyAlignment="1">
      <alignment horizontal="center" vertical="center"/>
    </xf>
    <xf numFmtId="0" fontId="40" fillId="8" borderId="51" xfId="0" applyFont="1" applyFill="1" applyBorder="1" applyAlignment="1">
      <alignment horizontal="center" vertical="center"/>
    </xf>
    <xf numFmtId="0" fontId="4" fillId="7" borderId="52" xfId="0" applyFont="1" applyFill="1" applyBorder="1" applyAlignment="1">
      <alignment horizontal="left" vertical="center"/>
    </xf>
    <xf numFmtId="0" fontId="8" fillId="7" borderId="53" xfId="0" applyFont="1" applyFill="1" applyBorder="1" applyAlignment="1">
      <alignment vertical="center"/>
    </xf>
    <xf numFmtId="0" fontId="8" fillId="7" borderId="54" xfId="0" applyFont="1" applyFill="1" applyBorder="1" applyAlignment="1">
      <alignment vertical="center"/>
    </xf>
    <xf numFmtId="0" fontId="41" fillId="7" borderId="55" xfId="0" applyFont="1" applyFill="1" applyBorder="1" applyAlignment="1">
      <alignment horizontal="left" vertical="center"/>
    </xf>
    <xf numFmtId="0" fontId="42" fillId="7" borderId="56" xfId="0" applyFont="1" applyFill="1" applyBorder="1" applyAlignment="1">
      <alignment vertical="center"/>
    </xf>
    <xf numFmtId="0" fontId="42" fillId="7" borderId="57" xfId="0" applyFont="1" applyFill="1" applyBorder="1" applyAlignment="1">
      <alignment vertical="center"/>
    </xf>
    <xf numFmtId="0" fontId="4" fillId="7" borderId="55" xfId="0" applyFont="1" applyFill="1" applyBorder="1" applyAlignment="1">
      <alignment horizontal="left" vertical="center"/>
    </xf>
    <xf numFmtId="0" fontId="8" fillId="7" borderId="56" xfId="0" applyFont="1" applyFill="1" applyBorder="1" applyAlignment="1">
      <alignment vertical="center"/>
    </xf>
    <xf numFmtId="0" fontId="8" fillId="7" borderId="57" xfId="0" applyFont="1" applyFill="1" applyBorder="1" applyAlignment="1">
      <alignment vertical="center"/>
    </xf>
    <xf numFmtId="0" fontId="2" fillId="0" borderId="61" xfId="0" applyFont="1" applyBorder="1" applyAlignment="1">
      <alignment vertical="center"/>
    </xf>
    <xf numFmtId="0" fontId="0" fillId="0" borderId="35"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49" fontId="2" fillId="0" borderId="65" xfId="0" applyNumberFormat="1" applyFont="1" applyBorder="1" applyAlignment="1">
      <alignment horizontal="center" vertical="center"/>
    </xf>
    <xf numFmtId="49" fontId="0" fillId="0" borderId="66" xfId="0" applyNumberFormat="1" applyBorder="1" applyAlignment="1">
      <alignment horizontal="center" vertical="center"/>
    </xf>
    <xf numFmtId="0" fontId="2" fillId="0" borderId="70" xfId="0" applyFont="1" applyBorder="1" applyAlignment="1">
      <alignment horizontal="left" vertical="center"/>
    </xf>
    <xf numFmtId="0" fontId="0" fillId="0" borderId="71" xfId="0" applyBorder="1" applyAlignment="1">
      <alignment vertical="center"/>
    </xf>
    <xf numFmtId="0" fontId="0" fillId="0" borderId="72" xfId="0" applyBorder="1" applyAlignment="1">
      <alignment vertical="center"/>
    </xf>
    <xf numFmtId="0" fontId="2" fillId="0" borderId="21" xfId="0" applyFont="1" applyBorder="1" applyAlignment="1">
      <alignment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1" fillId="0" borderId="19" xfId="0" applyFont="1" applyBorder="1" applyAlignment="1">
      <alignment horizontal="left" vertical="center"/>
    </xf>
    <xf numFmtId="0" fontId="2" fillId="0" borderId="67" xfId="0" applyFont="1" applyBorder="1" applyAlignment="1">
      <alignment horizontal="left" vertical="center"/>
    </xf>
    <xf numFmtId="0" fontId="0" fillId="0" borderId="48" xfId="0" applyBorder="1" applyAlignment="1">
      <alignment vertical="center"/>
    </xf>
    <xf numFmtId="0" fontId="2" fillId="0" borderId="28" xfId="0" applyFont="1" applyBorder="1" applyAlignment="1">
      <alignment horizontal="center" vertical="center"/>
    </xf>
    <xf numFmtId="0" fontId="0" fillId="0" borderId="19" xfId="0" applyBorder="1" applyAlignment="1">
      <alignment horizontal="center" vertical="center"/>
    </xf>
    <xf numFmtId="0" fontId="10" fillId="7" borderId="57" xfId="0" applyFont="1" applyFill="1" applyBorder="1" applyAlignment="1">
      <alignment vertical="center"/>
    </xf>
    <xf numFmtId="0" fontId="2" fillId="0" borderId="68" xfId="0" applyFont="1" applyBorder="1" applyAlignment="1">
      <alignment horizontal="left" vertical="center"/>
    </xf>
    <xf numFmtId="0" fontId="0" fillId="0" borderId="69" xfId="0" applyBorder="1" applyAlignment="1">
      <alignment vertical="center"/>
    </xf>
    <xf numFmtId="0" fontId="0" fillId="0" borderId="48" xfId="0" applyBorder="1" applyAlignment="1">
      <alignment horizontal="right" vertical="center"/>
    </xf>
    <xf numFmtId="0" fontId="0" fillId="0" borderId="49" xfId="0" applyBorder="1" applyAlignment="1">
      <alignment horizontal="right" vertical="center"/>
    </xf>
    <xf numFmtId="0" fontId="2" fillId="0" borderId="40" xfId="0" applyFont="1" applyBorder="1" applyAlignment="1">
      <alignment horizontal="left" vertical="center"/>
    </xf>
    <xf numFmtId="0" fontId="2" fillId="0" borderId="19" xfId="0" applyFont="1" applyBorder="1" applyAlignment="1">
      <alignment horizontal="left" vertical="center"/>
    </xf>
    <xf numFmtId="0" fontId="2" fillId="0" borderId="28" xfId="0" applyFont="1" applyBorder="1" applyAlignment="1">
      <alignment vertical="center"/>
    </xf>
    <xf numFmtId="0" fontId="2" fillId="0" borderId="40" xfId="0" applyFont="1" applyBorder="1" applyAlignment="1">
      <alignment vertical="center"/>
    </xf>
    <xf numFmtId="0" fontId="2" fillId="0" borderId="44" xfId="0" applyFont="1" applyBorder="1" applyAlignment="1">
      <alignment vertical="center"/>
    </xf>
    <xf numFmtId="0" fontId="2" fillId="0" borderId="28" xfId="0" applyFont="1" applyBorder="1" applyAlignment="1">
      <alignment horizontal="left" vertical="center"/>
    </xf>
    <xf numFmtId="0" fontId="0" fillId="0" borderId="19" xfId="0" applyBorder="1" applyAlignment="1">
      <alignment vertical="center"/>
    </xf>
    <xf numFmtId="49" fontId="43" fillId="0" borderId="0" xfId="0" applyNumberFormat="1" applyFont="1" applyAlignment="1">
      <alignment horizontal="right"/>
    </xf>
    <xf numFmtId="0" fontId="9" fillId="7" borderId="75" xfId="0" applyFont="1" applyFill="1" applyBorder="1" applyAlignment="1">
      <alignment vertical="center"/>
    </xf>
    <xf numFmtId="0" fontId="9" fillId="7" borderId="76"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9" fillId="0" borderId="25" xfId="0" applyFont="1" applyBorder="1" applyAlignment="1">
      <alignment horizontal="left" vertical="center"/>
    </xf>
    <xf numFmtId="0" fontId="25" fillId="0" borderId="25" xfId="0" applyFont="1" applyBorder="1" applyAlignment="1">
      <alignment vertical="center"/>
    </xf>
    <xf numFmtId="0" fontId="9" fillId="7" borderId="75" xfId="0" applyFont="1" applyFill="1" applyBorder="1" applyAlignment="1">
      <alignment horizontal="left" vertical="center"/>
    </xf>
    <xf numFmtId="0" fontId="10" fillId="7" borderId="76" xfId="0" applyFont="1" applyFill="1" applyBorder="1" applyAlignment="1">
      <alignment vertical="center"/>
    </xf>
    <xf numFmtId="0" fontId="17" fillId="0" borderId="77" xfId="0" applyFont="1" applyBorder="1" applyAlignment="1">
      <alignment horizontal="left" vertical="center"/>
    </xf>
    <xf numFmtId="0" fontId="18" fillId="0" borderId="0" xfId="0" applyFont="1" applyAlignment="1">
      <alignment vertical="center"/>
    </xf>
    <xf numFmtId="0" fontId="2" fillId="0" borderId="0" xfId="0" applyFont="1" applyAlignment="1">
      <alignment horizontal="left" vertical="center"/>
    </xf>
    <xf numFmtId="0" fontId="9" fillId="0" borderId="78" xfId="0" applyFont="1" applyBorder="1" applyAlignment="1">
      <alignment horizontal="left" vertical="center"/>
    </xf>
    <xf numFmtId="0" fontId="10" fillId="0" borderId="34" xfId="0" applyFont="1" applyBorder="1" applyAlignment="1">
      <alignment vertical="center"/>
    </xf>
    <xf numFmtId="0" fontId="17" fillId="0" borderId="77" xfId="0" applyFont="1" applyBorder="1" applyAlignment="1">
      <alignment horizontal="left" vertical="center" indent="1"/>
    </xf>
    <xf numFmtId="0" fontId="17" fillId="0" borderId="0" xfId="0" applyFont="1" applyAlignment="1">
      <alignment horizontal="left" vertical="center" indent="1"/>
    </xf>
    <xf numFmtId="0" fontId="17" fillId="0" borderId="74" xfId="0" applyFont="1" applyBorder="1" applyAlignment="1">
      <alignment horizontal="left" vertical="center" indent="1"/>
    </xf>
    <xf numFmtId="0" fontId="9" fillId="0" borderId="75" xfId="0" applyFont="1" applyBorder="1" applyAlignment="1">
      <alignment horizontal="left" vertical="center"/>
    </xf>
    <xf numFmtId="0" fontId="10" fillId="0" borderId="76" xfId="0" applyFont="1" applyBorder="1" applyAlignment="1">
      <alignment vertical="center"/>
    </xf>
    <xf numFmtId="0" fontId="17" fillId="0" borderId="78" xfId="0" applyFont="1" applyBorder="1" applyAlignment="1">
      <alignment horizontal="left" vertical="center"/>
    </xf>
    <xf numFmtId="0" fontId="18" fillId="0" borderId="34" xfId="0" applyFont="1" applyBorder="1" applyAlignment="1">
      <alignment vertical="center"/>
    </xf>
    <xf numFmtId="0" fontId="17" fillId="0" borderId="0" xfId="0" applyFont="1" applyAlignment="1">
      <alignment horizontal="left" vertical="center" wrapText="1"/>
    </xf>
    <xf numFmtId="0" fontId="26" fillId="0" borderId="0" xfId="0" applyFont="1" applyAlignment="1">
      <alignment vertical="center" wrapText="1"/>
    </xf>
    <xf numFmtId="0" fontId="17" fillId="0" borderId="0" xfId="0" applyFont="1" applyAlignment="1">
      <alignment horizontal="left" vertical="center"/>
    </xf>
    <xf numFmtId="0" fontId="26" fillId="0" borderId="0" xfId="0" applyFont="1" applyAlignment="1">
      <alignment vertical="center"/>
    </xf>
    <xf numFmtId="0" fontId="40" fillId="8" borderId="50" xfId="0" applyFont="1" applyFill="1" applyBorder="1" applyAlignment="1">
      <alignment horizontal="center"/>
    </xf>
    <xf numFmtId="0" fontId="40" fillId="8" borderId="17" xfId="0" applyFont="1" applyFill="1" applyBorder="1" applyAlignment="1">
      <alignment horizontal="center"/>
    </xf>
    <xf numFmtId="0" fontId="40" fillId="8" borderId="51" xfId="0" applyFont="1" applyFill="1" applyBorder="1" applyAlignment="1">
      <alignment horizontal="center"/>
    </xf>
    <xf numFmtId="0" fontId="9" fillId="0" borderId="0" xfId="0" applyFont="1" applyAlignment="1">
      <alignment horizontal="left" vertical="center"/>
    </xf>
    <xf numFmtId="0" fontId="9" fillId="0" borderId="0" xfId="0" applyFont="1" applyAlignment="1">
      <alignment horizontal="left" vertical="top" wrapText="1"/>
    </xf>
    <xf numFmtId="0" fontId="26" fillId="0" borderId="0" xfId="0" applyFont="1" applyAlignment="1">
      <alignment vertical="top" wrapText="1"/>
    </xf>
    <xf numFmtId="0" fontId="4" fillId="7" borderId="75" xfId="0" applyFont="1" applyFill="1" applyBorder="1" applyAlignment="1">
      <alignment horizontal="center" vertical="center"/>
    </xf>
    <xf numFmtId="0" fontId="8" fillId="7" borderId="76" xfId="0" applyFont="1" applyFill="1" applyBorder="1" applyAlignment="1">
      <alignment horizontal="center" vertical="center"/>
    </xf>
    <xf numFmtId="0" fontId="8" fillId="7" borderId="30" xfId="0" applyFont="1" applyFill="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30" xfId="0" applyFont="1" applyBorder="1" applyAlignment="1">
      <alignment horizontal="center" vertical="center"/>
    </xf>
  </cellXfs>
  <cellStyles count="6">
    <cellStyle name="Curr ($1,234) U Blue" xfId="1" xr:uid="{00000000-0005-0000-0000-000000000000}"/>
    <cellStyle name="Curr (1,234) U Blue" xfId="2" xr:uid="{00000000-0005-0000-0000-000001000000}"/>
    <cellStyle name="Input" xfId="3" builtinId="20"/>
    <cellStyle name="Normal" xfId="0" builtinId="0"/>
    <cellStyle name="Note" xfId="4" builtinId="10"/>
    <cellStyle name="Output" xfId="5"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gov.mb.ca/agriculture/farm-management/farm-business-management-contacts.html"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409575</xdr:colOff>
      <xdr:row>1</xdr:row>
      <xdr:rowOff>104775</xdr:rowOff>
    </xdr:from>
    <xdr:to>
      <xdr:col>8</xdr:col>
      <xdr:colOff>714375</xdr:colOff>
      <xdr:row>2</xdr:row>
      <xdr:rowOff>66675</xdr:rowOff>
    </xdr:to>
    <xdr:pic>
      <xdr:nvPicPr>
        <xdr:cNvPr id="2191" name="Picture 2" descr="GovMB_Logo_blk10.jpg">
          <a:extLst>
            <a:ext uri="{FF2B5EF4-FFF2-40B4-BE49-F238E27FC236}">
              <a16:creationId xmlns:a16="http://schemas.microsoft.com/office/drawing/2014/main" id="{00000000-0008-0000-0000-00008F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266700"/>
          <a:ext cx="16764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443865</xdr:colOff>
      <xdr:row>40</xdr:row>
      <xdr:rowOff>93345</xdr:rowOff>
    </xdr:from>
    <xdr:to>
      <xdr:col>5</xdr:col>
      <xdr:colOff>708660</xdr:colOff>
      <xdr:row>52</xdr:row>
      <xdr:rowOff>129540</xdr:rowOff>
    </xdr:to>
    <xdr:pic>
      <xdr:nvPicPr>
        <xdr:cNvPr id="2" name="Picture 7" descr="Contact Us information including a link to Farm Management Specialists listing.">
          <a:hlinkClick xmlns:r="http://schemas.openxmlformats.org/officeDocument/2006/relationships" r:id="rId1" tooltip="Click here for a list of Farm Management contacts."/>
          <a:extLst>
            <a:ext uri="{FF2B5EF4-FFF2-40B4-BE49-F238E27FC236}">
              <a16:creationId xmlns:a16="http://schemas.microsoft.com/office/drawing/2014/main" id="{FF46CF0B-6C25-4529-96E6-DFCB893A2A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865" y="7820025"/>
          <a:ext cx="4006215" cy="69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K31"/>
  <sheetViews>
    <sheetView showGridLines="0" tabSelected="1" zoomScaleNormal="100" workbookViewId="0"/>
  </sheetViews>
  <sheetFormatPr defaultColWidth="9" defaultRowHeight="12.75" customHeight="1" x14ac:dyDescent="0.2"/>
  <cols>
    <col min="1" max="1" width="11.21875" style="5" customWidth="1"/>
    <col min="2" max="3" width="9" style="5"/>
    <col min="4" max="4" width="11" style="5" customWidth="1"/>
    <col min="5" max="8" width="9" style="5"/>
    <col min="9" max="9" width="9.88671875" style="5" customWidth="1"/>
    <col min="10" max="16384" width="9" style="5"/>
  </cols>
  <sheetData>
    <row r="2" spans="1:10" ht="28.5" customHeight="1" x14ac:dyDescent="0.2">
      <c r="A2" s="157"/>
      <c r="B2" s="157"/>
      <c r="C2" s="157"/>
      <c r="D2" s="157"/>
      <c r="E2" s="157"/>
      <c r="F2" s="157"/>
      <c r="G2" s="157"/>
      <c r="H2" s="157"/>
      <c r="I2" s="157"/>
    </row>
    <row r="3" spans="1:10" ht="25.5" customHeight="1" x14ac:dyDescent="0.2">
      <c r="A3" s="72" t="s">
        <v>90</v>
      </c>
      <c r="G3" s="73"/>
    </row>
    <row r="4" spans="1:10" ht="31.5" customHeight="1" x14ac:dyDescent="0.2"/>
    <row r="5" spans="1:10" ht="20.25" customHeight="1" x14ac:dyDescent="0.2">
      <c r="A5" s="147" t="s">
        <v>91</v>
      </c>
      <c r="B5" s="147"/>
      <c r="C5" s="147"/>
      <c r="D5" s="147"/>
      <c r="E5" s="147"/>
      <c r="F5" s="147"/>
      <c r="G5" s="147"/>
      <c r="H5" s="147"/>
      <c r="I5" s="147"/>
      <c r="J5" s="147"/>
    </row>
    <row r="6" spans="1:10" ht="25.5" customHeight="1" x14ac:dyDescent="0.2">
      <c r="A6" s="158" t="s">
        <v>93</v>
      </c>
      <c r="B6" s="158"/>
      <c r="C6" s="158"/>
      <c r="D6" s="158"/>
      <c r="E6" s="158"/>
      <c r="F6" s="158"/>
      <c r="G6" s="158"/>
      <c r="H6" s="158"/>
      <c r="I6" s="158"/>
      <c r="J6" s="158"/>
    </row>
    <row r="7" spans="1:10" ht="20.25" customHeight="1" x14ac:dyDescent="0.2">
      <c r="A7" s="147" t="s">
        <v>92</v>
      </c>
      <c r="B7" s="147"/>
      <c r="C7" s="147"/>
      <c r="D7" s="147"/>
      <c r="E7" s="147"/>
      <c r="F7" s="147"/>
      <c r="G7" s="147"/>
      <c r="H7" s="147"/>
      <c r="I7" s="147"/>
      <c r="J7" s="147"/>
    </row>
    <row r="8" spans="1:10" ht="29.25" customHeight="1" x14ac:dyDescent="0.2">
      <c r="B8"/>
      <c r="C8"/>
      <c r="D8"/>
      <c r="E8"/>
      <c r="F8" s="68"/>
      <c r="G8" s="68"/>
      <c r="H8"/>
      <c r="I8"/>
    </row>
    <row r="9" spans="1:10" ht="29.25" customHeight="1" x14ac:dyDescent="0.2">
      <c r="A9"/>
      <c r="B9"/>
      <c r="C9"/>
      <c r="D9"/>
      <c r="E9"/>
      <c r="F9"/>
      <c r="G9"/>
      <c r="H9"/>
      <c r="I9"/>
    </row>
    <row r="10" spans="1:10" ht="25.5" customHeight="1" x14ac:dyDescent="0.2">
      <c r="A10"/>
      <c r="B10"/>
      <c r="C10"/>
      <c r="D10"/>
      <c r="E10"/>
      <c r="F10"/>
      <c r="G10"/>
      <c r="H10"/>
      <c r="I10"/>
    </row>
    <row r="11" spans="1:10" ht="12.75" customHeight="1" x14ac:dyDescent="0.2">
      <c r="A11"/>
      <c r="B11"/>
      <c r="C11"/>
      <c r="D11"/>
      <c r="E11"/>
      <c r="F11"/>
      <c r="G11"/>
      <c r="H11"/>
      <c r="I11"/>
    </row>
    <row r="12" spans="1:10" ht="25.5" customHeight="1" x14ac:dyDescent="0.2">
      <c r="A12" s="145" t="s">
        <v>70</v>
      </c>
      <c r="B12" s="145"/>
      <c r="C12" s="144"/>
      <c r="D12" s="144"/>
      <c r="E12" s="144"/>
      <c r="F12" s="144"/>
      <c r="G12" s="144"/>
      <c r="H12" s="144"/>
      <c r="I12" s="144"/>
    </row>
    <row r="13" spans="1:10" ht="25.5" customHeight="1" x14ac:dyDescent="0.2">
      <c r="A13" s="145" t="s">
        <v>71</v>
      </c>
      <c r="B13" s="145"/>
      <c r="C13" s="144"/>
      <c r="D13" s="144"/>
      <c r="E13" s="144"/>
      <c r="F13" s="144"/>
      <c r="G13" s="144"/>
      <c r="H13" s="144"/>
      <c r="I13" s="144"/>
    </row>
    <row r="14" spans="1:10" ht="25.5" customHeight="1" x14ac:dyDescent="0.2">
      <c r="A14" s="145" t="s">
        <v>72</v>
      </c>
      <c r="B14" s="145"/>
      <c r="C14" s="144"/>
      <c r="D14" s="144"/>
      <c r="E14" s="144"/>
      <c r="F14" s="144"/>
      <c r="G14" s="144"/>
      <c r="H14" s="144"/>
      <c r="I14" s="144"/>
    </row>
    <row r="15" spans="1:10" ht="25.5" customHeight="1" x14ac:dyDescent="0.2">
      <c r="A15" s="145" t="s">
        <v>73</v>
      </c>
      <c r="B15" s="145"/>
      <c r="C15" s="149"/>
      <c r="D15" s="149"/>
      <c r="E15" s="149"/>
      <c r="F15" s="149"/>
      <c r="G15" s="149"/>
      <c r="H15" s="149"/>
      <c r="I15" s="149"/>
    </row>
    <row r="16" spans="1:10" ht="25.5" customHeight="1" x14ac:dyDescent="0.2">
      <c r="A16" s="145" t="s">
        <v>74</v>
      </c>
      <c r="B16" s="145"/>
      <c r="C16" s="146"/>
      <c r="D16" s="146"/>
      <c r="E16" s="146"/>
      <c r="F16" s="146"/>
      <c r="G16" s="146"/>
      <c r="H16" s="146"/>
      <c r="I16" s="146"/>
    </row>
    <row r="17" spans="1:11" ht="25.5" customHeight="1" x14ac:dyDescent="0.2">
      <c r="A17" s="145" t="s">
        <v>75</v>
      </c>
      <c r="B17" s="145"/>
      <c r="C17" s="144"/>
      <c r="D17" s="144"/>
      <c r="E17" s="144"/>
      <c r="F17" s="144"/>
      <c r="G17" s="144"/>
      <c r="H17" s="144"/>
      <c r="I17" s="144"/>
    </row>
    <row r="18" spans="1:11" ht="25.5" customHeight="1" x14ac:dyDescent="0.2">
      <c r="A18" s="145" t="s">
        <v>76</v>
      </c>
      <c r="B18" s="153"/>
      <c r="C18" s="154"/>
      <c r="D18" s="155"/>
      <c r="E18" s="155"/>
      <c r="F18" s="155"/>
      <c r="G18" s="155"/>
      <c r="H18" s="155"/>
      <c r="I18" s="156"/>
    </row>
    <row r="19" spans="1:11" ht="25.5" customHeight="1" x14ac:dyDescent="0.2">
      <c r="A19" s="148"/>
      <c r="B19" s="148"/>
      <c r="C19" s="148"/>
      <c r="D19" s="148"/>
      <c r="E19" s="148"/>
      <c r="F19" s="148"/>
      <c r="G19" s="148"/>
      <c r="H19" s="148"/>
      <c r="I19" s="148"/>
    </row>
    <row r="20" spans="1:11" ht="6.75" customHeight="1" x14ac:dyDescent="0.2">
      <c r="A20" s="152"/>
      <c r="B20" s="152"/>
      <c r="C20" s="152"/>
      <c r="D20" s="152"/>
      <c r="E20" s="152"/>
      <c r="F20" s="152"/>
      <c r="G20" s="152"/>
      <c r="H20" s="152"/>
      <c r="I20" s="152"/>
    </row>
    <row r="21" spans="1:11" ht="12.75" customHeight="1" x14ac:dyDescent="0.2">
      <c r="A21" s="150" t="s">
        <v>190</v>
      </c>
      <c r="B21" s="151"/>
      <c r="C21" s="151"/>
      <c r="D21" s="151"/>
      <c r="E21" s="151"/>
      <c r="F21" s="151"/>
      <c r="G21" s="151"/>
      <c r="H21" s="151"/>
      <c r="I21" s="151"/>
    </row>
    <row r="22" spans="1:11" ht="12.75" customHeight="1" x14ac:dyDescent="0.2">
      <c r="A22" s="150"/>
      <c r="B22" s="151"/>
      <c r="C22" s="151"/>
      <c r="D22" s="151"/>
      <c r="E22" s="151"/>
      <c r="F22" s="151"/>
      <c r="G22" s="151"/>
      <c r="H22" s="151"/>
      <c r="I22" s="151"/>
    </row>
    <row r="23" spans="1:11" ht="12.75" customHeight="1" x14ac:dyDescent="0.2">
      <c r="A23" s="151"/>
      <c r="B23" s="151"/>
      <c r="C23" s="151"/>
      <c r="D23" s="151"/>
      <c r="E23" s="151"/>
      <c r="F23" s="151"/>
      <c r="G23" s="151"/>
      <c r="H23" s="151"/>
      <c r="I23" s="151"/>
    </row>
    <row r="24" spans="1:11" ht="12.75" customHeight="1" x14ac:dyDescent="0.2">
      <c r="A24" s="151"/>
      <c r="B24" s="151"/>
      <c r="C24" s="151"/>
      <c r="D24" s="151"/>
      <c r="E24" s="151"/>
      <c r="F24" s="151"/>
      <c r="G24" s="151"/>
      <c r="H24" s="151"/>
      <c r="I24" s="151"/>
    </row>
    <row r="25" spans="1:11" ht="12.75" hidden="1" customHeight="1" x14ac:dyDescent="0.2">
      <c r="A25" s="121" t="s">
        <v>183</v>
      </c>
      <c r="B25" s="121"/>
      <c r="C25" s="121"/>
      <c r="D25" s="121"/>
      <c r="E25" s="121"/>
      <c r="F25" s="121"/>
      <c r="G25" s="121"/>
      <c r="H25" s="121"/>
      <c r="I25" s="121"/>
      <c r="J25" s="121"/>
      <c r="K25" s="121" t="s">
        <v>110</v>
      </c>
    </row>
    <row r="26" spans="1:11" ht="12.75" hidden="1" customHeight="1" x14ac:dyDescent="0.2">
      <c r="A26" s="121" t="s">
        <v>102</v>
      </c>
      <c r="B26" s="121"/>
      <c r="C26" s="121"/>
      <c r="D26" s="121"/>
      <c r="E26" s="121"/>
      <c r="F26" s="121"/>
      <c r="G26" s="121"/>
      <c r="H26" s="121"/>
      <c r="I26" s="121"/>
      <c r="J26" s="121"/>
      <c r="K26" s="121" t="s">
        <v>109</v>
      </c>
    </row>
    <row r="27" spans="1:11" ht="12.75" hidden="1" customHeight="1" x14ac:dyDescent="0.2">
      <c r="A27" s="121"/>
      <c r="B27" s="121" t="s">
        <v>175</v>
      </c>
      <c r="C27" s="121"/>
      <c r="D27" s="121"/>
      <c r="E27" s="121"/>
      <c r="F27" s="121"/>
      <c r="G27" s="121"/>
      <c r="H27" s="121"/>
      <c r="I27" s="121"/>
      <c r="J27" s="121"/>
      <c r="K27" s="121"/>
    </row>
    <row r="28" spans="1:11" ht="12.75" hidden="1" customHeight="1" x14ac:dyDescent="0.2">
      <c r="A28" s="121"/>
      <c r="B28" s="121"/>
      <c r="C28" s="121" t="s">
        <v>176</v>
      </c>
      <c r="D28" s="121"/>
      <c r="E28" s="108" t="s">
        <v>185</v>
      </c>
      <c r="F28" s="121"/>
      <c r="G28" s="121"/>
      <c r="H28" s="121" t="s">
        <v>180</v>
      </c>
      <c r="I28" s="121"/>
      <c r="J28" s="121"/>
      <c r="K28" s="121"/>
    </row>
    <row r="29" spans="1:11" ht="12.75" hidden="1" customHeight="1" x14ac:dyDescent="0.2">
      <c r="A29" s="121"/>
      <c r="B29" s="121"/>
      <c r="C29" s="121" t="s">
        <v>169</v>
      </c>
      <c r="D29" s="121"/>
      <c r="E29" s="121" t="s">
        <v>177</v>
      </c>
      <c r="F29" s="121"/>
      <c r="G29" s="121"/>
      <c r="H29" s="121" t="s">
        <v>181</v>
      </c>
      <c r="I29" s="121"/>
      <c r="J29" s="121"/>
      <c r="K29" s="121"/>
    </row>
    <row r="30" spans="1:11" ht="12.75" hidden="1" customHeight="1" x14ac:dyDescent="0.2"/>
    <row r="31" spans="1:11" ht="12.75" hidden="1" customHeight="1" x14ac:dyDescent="0.2">
      <c r="C31" s="121" t="s">
        <v>179</v>
      </c>
    </row>
  </sheetData>
  <sheetProtection password="C6A6" sheet="1"/>
  <mergeCells count="21">
    <mergeCell ref="A2:I2"/>
    <mergeCell ref="A13:B13"/>
    <mergeCell ref="C13:I13"/>
    <mergeCell ref="A12:B12"/>
    <mergeCell ref="C12:I12"/>
    <mergeCell ref="A6:J6"/>
    <mergeCell ref="A21:I24"/>
    <mergeCell ref="A20:I20"/>
    <mergeCell ref="A18:B18"/>
    <mergeCell ref="C18:I18"/>
    <mergeCell ref="A15:B15"/>
    <mergeCell ref="C14:I14"/>
    <mergeCell ref="A14:B14"/>
    <mergeCell ref="C16:I16"/>
    <mergeCell ref="A5:J5"/>
    <mergeCell ref="A19:I19"/>
    <mergeCell ref="A7:J7"/>
    <mergeCell ref="C15:I15"/>
    <mergeCell ref="A17:B17"/>
    <mergeCell ref="A16:B16"/>
    <mergeCell ref="C17:I17"/>
  </mergeCells>
  <phoneticPr fontId="0" type="noConversion"/>
  <printOptions horizontalCentered="1"/>
  <pageMargins left="0.75" right="0.75" top="1" bottom="1" header="0.5" footer="0.5"/>
  <pageSetup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codeName="Sheet2">
    <pageSetUpPr fitToPage="1"/>
  </sheetPr>
  <dimension ref="A1:P186"/>
  <sheetViews>
    <sheetView showGridLines="0" zoomScaleNormal="100" workbookViewId="0">
      <selection sqref="A1:G1"/>
    </sheetView>
  </sheetViews>
  <sheetFormatPr defaultColWidth="11.6640625" defaultRowHeight="13.2" x14ac:dyDescent="0.25"/>
  <cols>
    <col min="1" max="1" width="21.33203125" style="1" customWidth="1"/>
    <col min="2" max="2" width="2.77734375" style="1" customWidth="1"/>
    <col min="3" max="3" width="19.88671875" style="1" customWidth="1"/>
    <col min="4" max="4" width="16.33203125" style="1" customWidth="1"/>
    <col min="5" max="5" width="2.6640625" style="1" customWidth="1"/>
    <col min="6" max="6" width="13.88671875" style="1" customWidth="1"/>
    <col min="7" max="7" width="11.21875" style="1" customWidth="1"/>
    <col min="8" max="8" width="33.33203125" style="1" hidden="1" customWidth="1"/>
    <col min="9" max="14" width="11.6640625" style="1" hidden="1" customWidth="1"/>
    <col min="15" max="16" width="0" style="1" hidden="1" customWidth="1"/>
    <col min="17" max="18" width="11.6640625" style="1"/>
    <col min="19" max="19" width="11.6640625" style="1" customWidth="1"/>
    <col min="20" max="16384" width="11.6640625" style="1"/>
  </cols>
  <sheetData>
    <row r="1" spans="1:15" ht="19.5" customHeight="1" thickBot="1" x14ac:dyDescent="0.3">
      <c r="A1" s="208" t="s">
        <v>82</v>
      </c>
      <c r="B1" s="209"/>
      <c r="C1" s="209"/>
      <c r="D1" s="209"/>
      <c r="E1" s="209"/>
      <c r="F1" s="209"/>
      <c r="G1" s="210"/>
    </row>
    <row r="2" spans="1:15" ht="13.8" thickBot="1" x14ac:dyDescent="0.3">
      <c r="A2" s="11"/>
      <c r="B2" s="11"/>
      <c r="C2" s="11"/>
      <c r="D2" s="11"/>
      <c r="E2" s="11"/>
      <c r="F2" s="11"/>
      <c r="G2" s="11"/>
    </row>
    <row r="3" spans="1:15" x14ac:dyDescent="0.25">
      <c r="A3" s="217" t="s">
        <v>67</v>
      </c>
      <c r="B3" s="218"/>
      <c r="C3" s="218"/>
      <c r="D3" s="218"/>
      <c r="E3" s="218"/>
      <c r="F3" s="219"/>
      <c r="G3" s="11"/>
    </row>
    <row r="4" spans="1:15" x14ac:dyDescent="0.25">
      <c r="A4" s="184"/>
      <c r="B4" s="12">
        <v>1</v>
      </c>
      <c r="C4" s="13" t="s">
        <v>2</v>
      </c>
      <c r="D4" s="177"/>
      <c r="E4" s="177"/>
      <c r="F4" s="178"/>
      <c r="G4" s="11"/>
      <c r="L4" s="100" t="s">
        <v>159</v>
      </c>
    </row>
    <row r="5" spans="1:15" x14ac:dyDescent="0.25">
      <c r="A5" s="185"/>
      <c r="B5" s="14">
        <v>2</v>
      </c>
      <c r="C5" s="15" t="s">
        <v>3</v>
      </c>
      <c r="D5" s="179"/>
      <c r="E5" s="179"/>
      <c r="F5" s="180"/>
      <c r="G5" s="11"/>
      <c r="M5" s="100" t="s">
        <v>2</v>
      </c>
    </row>
    <row r="6" spans="1:15" ht="13.8" thickBot="1" x14ac:dyDescent="0.3">
      <c r="A6" s="186"/>
      <c r="B6" s="181"/>
      <c r="C6" s="182"/>
      <c r="D6" s="181" t="s">
        <v>4</v>
      </c>
      <c r="E6" s="183"/>
      <c r="F6" s="58">
        <v>1</v>
      </c>
      <c r="G6" s="11"/>
      <c r="H6" s="100" t="s">
        <v>103</v>
      </c>
      <c r="I6" s="101" t="s">
        <v>107</v>
      </c>
      <c r="N6" s="100" t="s">
        <v>155</v>
      </c>
      <c r="O6" s="100"/>
    </row>
    <row r="7" spans="1:15" ht="15.75" customHeight="1" thickBot="1" x14ac:dyDescent="0.3">
      <c r="A7" s="159"/>
      <c r="B7" s="153"/>
      <c r="C7" s="153"/>
      <c r="D7" s="153"/>
      <c r="E7" s="153"/>
      <c r="F7" s="153"/>
      <c r="G7" s="11"/>
      <c r="N7" s="100" t="s">
        <v>156</v>
      </c>
      <c r="O7" s="100"/>
    </row>
    <row r="8" spans="1:15" x14ac:dyDescent="0.25">
      <c r="A8" s="211" t="s">
        <v>68</v>
      </c>
      <c r="B8" s="212"/>
      <c r="C8" s="212"/>
      <c r="D8" s="212"/>
      <c r="E8" s="212"/>
      <c r="F8" s="213"/>
      <c r="G8" s="11"/>
      <c r="M8" s="100" t="s">
        <v>157</v>
      </c>
    </row>
    <row r="9" spans="1:15" x14ac:dyDescent="0.25">
      <c r="A9" s="227"/>
      <c r="B9" s="14">
        <v>1</v>
      </c>
      <c r="C9" s="15" t="s">
        <v>5</v>
      </c>
      <c r="D9" s="220"/>
      <c r="E9" s="221"/>
      <c r="F9" s="222"/>
      <c r="G9" s="11"/>
      <c r="N9" s="100" t="s">
        <v>155</v>
      </c>
      <c r="O9" s="100"/>
    </row>
    <row r="10" spans="1:15" x14ac:dyDescent="0.25">
      <c r="A10" s="228"/>
      <c r="B10" s="16">
        <v>2</v>
      </c>
      <c r="C10" s="17" t="s">
        <v>6</v>
      </c>
      <c r="D10" s="223"/>
      <c r="E10" s="153"/>
      <c r="F10" s="160"/>
      <c r="G10" s="11"/>
      <c r="N10" s="100" t="s">
        <v>156</v>
      </c>
      <c r="O10" s="100"/>
    </row>
    <row r="11" spans="1:15" x14ac:dyDescent="0.25">
      <c r="A11" s="228"/>
      <c r="B11" s="16">
        <v>3</v>
      </c>
      <c r="C11" s="17" t="s">
        <v>65</v>
      </c>
      <c r="D11" s="223"/>
      <c r="E11" s="153"/>
      <c r="F11" s="160"/>
      <c r="G11" s="11"/>
      <c r="L11" s="100" t="s">
        <v>160</v>
      </c>
    </row>
    <row r="12" spans="1:15" x14ac:dyDescent="0.25">
      <c r="A12" s="228"/>
      <c r="B12" s="16">
        <v>4</v>
      </c>
      <c r="C12" s="17" t="s">
        <v>8</v>
      </c>
      <c r="D12" s="223"/>
      <c r="E12" s="153"/>
      <c r="F12" s="160"/>
      <c r="G12" s="11"/>
      <c r="M12" s="100" t="s">
        <v>5</v>
      </c>
    </row>
    <row r="13" spans="1:15" x14ac:dyDescent="0.25">
      <c r="A13" s="228"/>
      <c r="B13" s="16">
        <v>5</v>
      </c>
      <c r="C13" s="17" t="s">
        <v>9</v>
      </c>
      <c r="D13" s="224"/>
      <c r="E13" s="161"/>
      <c r="F13" s="162"/>
      <c r="G13" s="11"/>
      <c r="J13" s="105"/>
      <c r="M13" s="100" t="s">
        <v>6</v>
      </c>
    </row>
    <row r="14" spans="1:15" ht="13.8" thickBot="1" x14ac:dyDescent="0.3">
      <c r="A14" s="229"/>
      <c r="B14" s="230"/>
      <c r="C14" s="230"/>
      <c r="D14" s="225" t="s">
        <v>88</v>
      </c>
      <c r="E14" s="226"/>
      <c r="F14" s="59">
        <v>4</v>
      </c>
      <c r="G14" s="11"/>
      <c r="H14" s="100" t="s">
        <v>103</v>
      </c>
      <c r="I14" s="101" t="s">
        <v>107</v>
      </c>
      <c r="M14" s="100" t="s">
        <v>65</v>
      </c>
    </row>
    <row r="15" spans="1:15" ht="13.8" thickBot="1" x14ac:dyDescent="0.3">
      <c r="A15" s="5"/>
      <c r="B15" s="11"/>
      <c r="C15" s="11"/>
      <c r="D15" s="111"/>
      <c r="E15" s="112"/>
      <c r="F15" s="113"/>
      <c r="G15" s="11"/>
      <c r="H15" s="100"/>
      <c r="I15" s="101"/>
      <c r="M15" s="100"/>
    </row>
    <row r="16" spans="1:15" x14ac:dyDescent="0.25">
      <c r="A16" s="214" t="s">
        <v>167</v>
      </c>
      <c r="B16" s="215"/>
      <c r="C16" s="215"/>
      <c r="D16" s="215"/>
      <c r="E16" s="215"/>
      <c r="F16" s="216"/>
      <c r="G16" s="11"/>
      <c r="H16" s="100"/>
      <c r="M16" s="100"/>
    </row>
    <row r="17" spans="1:13" x14ac:dyDescent="0.25">
      <c r="A17" s="184"/>
      <c r="B17" s="12">
        <v>1</v>
      </c>
      <c r="C17" s="114" t="s">
        <v>162</v>
      </c>
      <c r="D17" s="177"/>
      <c r="E17" s="177"/>
      <c r="F17" s="178"/>
      <c r="G17" s="11"/>
      <c r="H17" s="100"/>
      <c r="I17" s="101"/>
      <c r="M17" s="100"/>
    </row>
    <row r="18" spans="1:13" x14ac:dyDescent="0.25">
      <c r="A18" s="185"/>
      <c r="B18" s="14">
        <v>2</v>
      </c>
      <c r="C18" s="115" t="s">
        <v>169</v>
      </c>
      <c r="D18" s="179"/>
      <c r="E18" s="179"/>
      <c r="F18" s="180"/>
      <c r="G18" s="11"/>
      <c r="H18" s="100"/>
      <c r="I18" s="101"/>
      <c r="M18" s="100"/>
    </row>
    <row r="19" spans="1:13" ht="13.8" thickBot="1" x14ac:dyDescent="0.3">
      <c r="A19" s="186"/>
      <c r="B19" s="181"/>
      <c r="C19" s="182"/>
      <c r="D19" s="181" t="s">
        <v>4</v>
      </c>
      <c r="E19" s="183"/>
      <c r="F19" s="58">
        <v>1</v>
      </c>
      <c r="G19" s="11"/>
      <c r="H19" s="100"/>
      <c r="I19" s="109" t="s">
        <v>168</v>
      </c>
      <c r="M19" s="100"/>
    </row>
    <row r="20" spans="1:13" ht="15.75" customHeight="1" thickBot="1" x14ac:dyDescent="0.3">
      <c r="A20" s="5"/>
      <c r="B20" s="11"/>
      <c r="C20" s="11"/>
      <c r="D20" s="18"/>
      <c r="E20" s="5"/>
      <c r="F20" s="19"/>
      <c r="G20" s="11"/>
      <c r="M20" s="100" t="s">
        <v>8</v>
      </c>
    </row>
    <row r="21" spans="1:13" ht="14.4" x14ac:dyDescent="0.3">
      <c r="A21" s="187" t="s">
        <v>10</v>
      </c>
      <c r="B21" s="188"/>
      <c r="C21" s="188"/>
      <c r="D21" s="188"/>
      <c r="E21" s="20"/>
      <c r="F21" s="134">
        <v>200</v>
      </c>
      <c r="G21" s="21" t="s">
        <v>11</v>
      </c>
      <c r="I21" s="102" t="s">
        <v>108</v>
      </c>
      <c r="M21" s="100" t="s">
        <v>158</v>
      </c>
    </row>
    <row r="22" spans="1:13" ht="14.4" x14ac:dyDescent="0.3">
      <c r="A22" s="176" t="s">
        <v>12</v>
      </c>
      <c r="B22" s="161"/>
      <c r="C22" s="161"/>
      <c r="D22" s="161"/>
      <c r="E22" s="23"/>
      <c r="F22" s="24">
        <v>0</v>
      </c>
      <c r="G22" s="25" t="s">
        <v>13</v>
      </c>
      <c r="H22" s="100" t="s">
        <v>104</v>
      </c>
      <c r="I22" s="102" t="s">
        <v>108</v>
      </c>
    </row>
    <row r="23" spans="1:13" ht="14.4" x14ac:dyDescent="0.3">
      <c r="A23" s="176" t="s">
        <v>14</v>
      </c>
      <c r="B23" s="161"/>
      <c r="C23" s="161"/>
      <c r="D23" s="161"/>
      <c r="E23" s="23"/>
      <c r="F23" s="24">
        <v>100</v>
      </c>
      <c r="G23" s="25" t="s">
        <v>13</v>
      </c>
      <c r="H23" s="100" t="s">
        <v>104</v>
      </c>
      <c r="I23" s="102" t="s">
        <v>108</v>
      </c>
      <c r="L23" s="100" t="s">
        <v>161</v>
      </c>
    </row>
    <row r="24" spans="1:13" ht="14.4" x14ac:dyDescent="0.3">
      <c r="A24" s="165" t="s">
        <v>16</v>
      </c>
      <c r="B24" s="166"/>
      <c r="C24" s="166"/>
      <c r="D24" s="166"/>
      <c r="E24" s="23"/>
      <c r="F24" s="24">
        <v>22</v>
      </c>
      <c r="G24" s="25" t="s">
        <v>17</v>
      </c>
      <c r="H24" s="100" t="s">
        <v>104</v>
      </c>
      <c r="I24" s="102" t="s">
        <v>108</v>
      </c>
      <c r="M24" s="100" t="s">
        <v>162</v>
      </c>
    </row>
    <row r="25" spans="1:13" ht="15" thickBot="1" x14ac:dyDescent="0.35">
      <c r="A25" s="167" t="s">
        <v>18</v>
      </c>
      <c r="B25" s="168"/>
      <c r="C25" s="168"/>
      <c r="D25" s="168"/>
      <c r="E25" s="26"/>
      <c r="F25" s="27">
        <v>15.4</v>
      </c>
      <c r="G25" s="28" t="s">
        <v>17</v>
      </c>
      <c r="H25" s="100" t="s">
        <v>104</v>
      </c>
      <c r="I25" s="102" t="s">
        <v>108</v>
      </c>
      <c r="M25" s="100" t="s">
        <v>163</v>
      </c>
    </row>
    <row r="26" spans="1:13" ht="15" customHeight="1" thickBot="1" x14ac:dyDescent="0.3">
      <c r="A26" s="11"/>
      <c r="B26" s="11"/>
      <c r="C26" s="11"/>
      <c r="D26" s="11"/>
      <c r="E26" s="11"/>
      <c r="F26" s="11"/>
      <c r="G26" s="11"/>
    </row>
    <row r="27" spans="1:13" ht="15.6" x14ac:dyDescent="0.25">
      <c r="A27" s="169" t="s">
        <v>19</v>
      </c>
      <c r="B27" s="170"/>
      <c r="C27" s="170"/>
      <c r="D27" s="170"/>
      <c r="E27" s="170"/>
      <c r="F27" s="170"/>
      <c r="G27" s="171"/>
    </row>
    <row r="28" spans="1:13" x14ac:dyDescent="0.25">
      <c r="A28" s="29" t="s">
        <v>66</v>
      </c>
      <c r="B28" s="14">
        <v>1</v>
      </c>
      <c r="C28" s="15" t="s">
        <v>20</v>
      </c>
      <c r="D28" s="159"/>
      <c r="E28" s="153"/>
      <c r="F28" s="153"/>
      <c r="G28" s="160"/>
    </row>
    <row r="29" spans="1:13" x14ac:dyDescent="0.25">
      <c r="A29" s="247"/>
      <c r="B29" s="16">
        <v>2</v>
      </c>
      <c r="C29" s="17" t="s">
        <v>21</v>
      </c>
      <c r="D29" s="153"/>
      <c r="E29" s="153"/>
      <c r="F29" s="153"/>
      <c r="G29" s="160"/>
    </row>
    <row r="30" spans="1:13" x14ac:dyDescent="0.25">
      <c r="A30" s="189"/>
      <c r="B30" s="175"/>
      <c r="C30" s="175"/>
      <c r="D30" s="236" t="s">
        <v>4</v>
      </c>
      <c r="E30" s="237"/>
      <c r="F30" s="60">
        <v>2</v>
      </c>
      <c r="G30" s="30"/>
      <c r="I30" s="101" t="s">
        <v>107</v>
      </c>
    </row>
    <row r="31" spans="1:13" ht="14.4" x14ac:dyDescent="0.3">
      <c r="A31" s="189"/>
      <c r="B31" s="175"/>
      <c r="C31" s="175"/>
      <c r="D31" s="236" t="s">
        <v>22</v>
      </c>
      <c r="E31" s="237"/>
      <c r="F31" s="31">
        <v>250</v>
      </c>
      <c r="G31" s="32" t="str">
        <f>IF(F30=1,"m3","bu")</f>
        <v>bu</v>
      </c>
      <c r="I31" s="102" t="s">
        <v>108</v>
      </c>
    </row>
    <row r="32" spans="1:13" ht="14.4" x14ac:dyDescent="0.3">
      <c r="A32" s="189"/>
      <c r="B32" s="248" t="s">
        <v>23</v>
      </c>
      <c r="C32" s="249"/>
      <c r="D32" s="245"/>
      <c r="E32" s="246"/>
      <c r="F32" s="71">
        <f>IF(F6=2,"Continuous Flow",IF(F30=1,F31,IF(F30=2,F31*0.035,0)))</f>
        <v>8.75</v>
      </c>
      <c r="G32" s="33" t="s">
        <v>24</v>
      </c>
      <c r="I32" s="103" t="s">
        <v>111</v>
      </c>
    </row>
    <row r="33" spans="1:16" ht="15" thickBot="1" x14ac:dyDescent="0.35">
      <c r="A33" s="190"/>
      <c r="B33" s="199" t="s">
        <v>25</v>
      </c>
      <c r="C33" s="241"/>
      <c r="D33" s="241"/>
      <c r="E33" s="242"/>
      <c r="F33" s="27">
        <v>1.5</v>
      </c>
      <c r="G33" s="28" t="s">
        <v>26</v>
      </c>
      <c r="I33" s="102" t="s">
        <v>108</v>
      </c>
    </row>
    <row r="34" spans="1:16" ht="5.25" customHeight="1" thickBot="1" x14ac:dyDescent="0.3">
      <c r="A34" s="34"/>
      <c r="B34" s="5"/>
      <c r="C34" s="5"/>
      <c r="D34" s="5"/>
      <c r="E34" s="5"/>
      <c r="F34" s="35"/>
      <c r="G34" s="18"/>
    </row>
    <row r="35" spans="1:16" ht="15.6" x14ac:dyDescent="0.25">
      <c r="A35" s="169" t="s">
        <v>27</v>
      </c>
      <c r="B35" s="172"/>
      <c r="C35" s="172"/>
      <c r="D35" s="173"/>
      <c r="E35" s="173"/>
      <c r="F35" s="173"/>
      <c r="G35" s="174"/>
    </row>
    <row r="36" spans="1:16" x14ac:dyDescent="0.25">
      <c r="A36" s="22" t="s">
        <v>29</v>
      </c>
      <c r="B36" s="14">
        <v>1</v>
      </c>
      <c r="C36" s="36" t="s">
        <v>30</v>
      </c>
      <c r="D36" s="159"/>
      <c r="E36" s="153"/>
      <c r="F36" s="153"/>
      <c r="G36" s="160"/>
    </row>
    <row r="37" spans="1:16" x14ac:dyDescent="0.25">
      <c r="A37" s="185"/>
      <c r="B37" s="16">
        <v>2</v>
      </c>
      <c r="C37" s="37" t="s">
        <v>31</v>
      </c>
      <c r="D37" s="161"/>
      <c r="E37" s="161"/>
      <c r="F37" s="161"/>
      <c r="G37" s="162"/>
    </row>
    <row r="38" spans="1:16" x14ac:dyDescent="0.25">
      <c r="A38" s="189"/>
      <c r="B38" s="191"/>
      <c r="C38" s="192"/>
      <c r="D38" s="163" t="s">
        <v>4</v>
      </c>
      <c r="E38" s="164"/>
      <c r="F38" s="60">
        <v>1</v>
      </c>
      <c r="G38" s="38"/>
      <c r="I38" s="101" t="s">
        <v>107</v>
      </c>
    </row>
    <row r="39" spans="1:16" ht="14.4" x14ac:dyDescent="0.3">
      <c r="A39" s="189"/>
      <c r="B39" s="193"/>
      <c r="C39" s="193"/>
      <c r="D39" s="163" t="s">
        <v>0</v>
      </c>
      <c r="E39" s="164"/>
      <c r="F39" s="67">
        <v>200</v>
      </c>
      <c r="G39" s="63" t="str">
        <f>IF(F38=1,"t/hr","bu/hr")</f>
        <v>t/hr</v>
      </c>
      <c r="I39" s="102" t="s">
        <v>108</v>
      </c>
      <c r="N39" s="120" t="s">
        <v>113</v>
      </c>
      <c r="O39" s="120"/>
    </row>
    <row r="40" spans="1:16" ht="15" thickBot="1" x14ac:dyDescent="0.35">
      <c r="A40" s="190"/>
      <c r="B40" s="199" t="s">
        <v>69</v>
      </c>
      <c r="C40" s="200"/>
      <c r="D40" s="200"/>
      <c r="E40" s="201"/>
      <c r="F40" s="69" t="str">
        <f>IF(F6=1,"Batch Chosen  ",IF(F38=1,F39,IF(F38=2,F39*VLOOKUP(F14,Coefficients!B5:C10,2),0)))</f>
        <v xml:space="preserve">Batch Chosen  </v>
      </c>
      <c r="G40" s="28" t="s">
        <v>32</v>
      </c>
      <c r="I40" s="103" t="s">
        <v>112</v>
      </c>
      <c r="N40" s="104" t="s">
        <v>114</v>
      </c>
      <c r="O40" s="107"/>
    </row>
    <row r="41" spans="1:16" ht="5.25" customHeight="1" thickBot="1" x14ac:dyDescent="0.3">
      <c r="A41" s="11"/>
      <c r="B41" s="11"/>
      <c r="C41" s="11"/>
      <c r="D41" s="11"/>
      <c r="E41" s="11"/>
      <c r="F41" s="11"/>
      <c r="G41" s="11"/>
    </row>
    <row r="42" spans="1:16" ht="15.6" x14ac:dyDescent="0.25">
      <c r="A42" s="169" t="s">
        <v>33</v>
      </c>
      <c r="B42" s="172"/>
      <c r="C42" s="172"/>
      <c r="D42" s="172"/>
      <c r="E42" s="172"/>
      <c r="F42" s="172"/>
      <c r="G42" s="238"/>
    </row>
    <row r="43" spans="1:16" x14ac:dyDescent="0.25">
      <c r="A43" s="239" t="s">
        <v>34</v>
      </c>
      <c r="B43" s="221"/>
      <c r="C43" s="221"/>
      <c r="D43" s="221"/>
      <c r="E43" s="240"/>
      <c r="F43" s="94">
        <v>0</v>
      </c>
      <c r="G43" s="25" t="s">
        <v>35</v>
      </c>
      <c r="I43" s="105" t="s">
        <v>116</v>
      </c>
    </row>
    <row r="44" spans="1:16" x14ac:dyDescent="0.25">
      <c r="A44" s="197"/>
      <c r="B44" s="161"/>
      <c r="C44" s="161"/>
      <c r="D44" s="161"/>
      <c r="E44" s="198"/>
      <c r="F44" s="95">
        <f>IF(F43=0,0.09485,F43)</f>
        <v>9.4850000000000004E-2</v>
      </c>
      <c r="G44" s="33" t="s">
        <v>35</v>
      </c>
      <c r="I44" s="100" t="s">
        <v>115</v>
      </c>
    </row>
    <row r="45" spans="1:16" x14ac:dyDescent="0.25">
      <c r="A45" s="194" t="s">
        <v>36</v>
      </c>
      <c r="B45" s="195"/>
      <c r="C45" s="195"/>
      <c r="D45" s="195"/>
      <c r="E45" s="196"/>
      <c r="F45" s="39">
        <v>0</v>
      </c>
      <c r="G45" s="33" t="s">
        <v>37</v>
      </c>
      <c r="I45" s="105" t="s">
        <v>116</v>
      </c>
    </row>
    <row r="46" spans="1:16" x14ac:dyDescent="0.25">
      <c r="A46" s="197"/>
      <c r="B46" s="161"/>
      <c r="C46" s="161"/>
      <c r="D46" s="161"/>
      <c r="E46" s="198"/>
      <c r="F46" s="70">
        <f>IF(F45=0,0.55,F45)</f>
        <v>0.55000000000000004</v>
      </c>
      <c r="G46" s="33" t="s">
        <v>37</v>
      </c>
      <c r="I46" s="100" t="s">
        <v>128</v>
      </c>
      <c r="N46" s="109" t="s">
        <v>166</v>
      </c>
      <c r="O46" s="109"/>
    </row>
    <row r="47" spans="1:16" x14ac:dyDescent="0.25">
      <c r="A47" s="202" t="s">
        <v>126</v>
      </c>
      <c r="B47" s="203"/>
      <c r="C47" s="203"/>
      <c r="D47" s="203"/>
      <c r="E47" s="204"/>
      <c r="F47" s="39">
        <v>0</v>
      </c>
      <c r="G47" s="135" t="s">
        <v>127</v>
      </c>
      <c r="I47" s="100"/>
      <c r="N47" s="109"/>
      <c r="O47" s="109"/>
    </row>
    <row r="48" spans="1:16" ht="14.4" x14ac:dyDescent="0.3">
      <c r="A48" s="205"/>
      <c r="B48" s="206"/>
      <c r="C48" s="206"/>
      <c r="D48" s="206"/>
      <c r="E48" s="207"/>
      <c r="F48" s="136">
        <v>0.21510000000000001</v>
      </c>
      <c r="G48" s="135" t="s">
        <v>127</v>
      </c>
      <c r="H48" s="132" t="s">
        <v>194</v>
      </c>
      <c r="I48" s="110" t="s">
        <v>184</v>
      </c>
      <c r="N48" s="105"/>
      <c r="O48" s="105"/>
      <c r="P48" s="132"/>
    </row>
    <row r="49" spans="1:16" ht="12.9" customHeight="1" x14ac:dyDescent="0.3">
      <c r="A49" s="231" t="s">
        <v>101</v>
      </c>
      <c r="B49" s="232"/>
      <c r="C49" s="232"/>
      <c r="D49" s="232"/>
      <c r="E49" s="233"/>
      <c r="F49" s="137">
        <v>0</v>
      </c>
      <c r="G49" s="135" t="s">
        <v>100</v>
      </c>
      <c r="I49" s="102" t="s">
        <v>108</v>
      </c>
      <c r="P49" s="132"/>
    </row>
    <row r="50" spans="1:16" ht="14.4" x14ac:dyDescent="0.3">
      <c r="A50" s="231" t="s">
        <v>39</v>
      </c>
      <c r="B50" s="243"/>
      <c r="C50" s="243"/>
      <c r="D50" s="243"/>
      <c r="E50" s="244"/>
      <c r="F50" s="40">
        <v>15</v>
      </c>
      <c r="G50" s="33" t="s">
        <v>40</v>
      </c>
      <c r="I50" s="102" t="s">
        <v>108</v>
      </c>
    </row>
    <row r="51" spans="1:16" ht="14.4" x14ac:dyDescent="0.3">
      <c r="A51" s="165" t="s">
        <v>41</v>
      </c>
      <c r="B51" s="166"/>
      <c r="C51" s="166"/>
      <c r="D51" s="166"/>
      <c r="E51" s="166"/>
      <c r="F51" s="40">
        <v>0</v>
      </c>
      <c r="G51" s="33" t="s">
        <v>40</v>
      </c>
      <c r="I51" s="102" t="s">
        <v>108</v>
      </c>
    </row>
    <row r="52" spans="1:16" ht="14.4" x14ac:dyDescent="0.3">
      <c r="A52" s="165" t="s">
        <v>43</v>
      </c>
      <c r="B52" s="166"/>
      <c r="C52" s="166"/>
      <c r="D52" s="166"/>
      <c r="E52" s="166"/>
      <c r="F52" s="138">
        <v>28</v>
      </c>
      <c r="G52" s="33" t="s">
        <v>44</v>
      </c>
      <c r="I52" s="102" t="s">
        <v>108</v>
      </c>
    </row>
    <row r="53" spans="1:16" ht="14.4" x14ac:dyDescent="0.3">
      <c r="A53" s="165" t="s">
        <v>46</v>
      </c>
      <c r="B53" s="166"/>
      <c r="C53" s="166"/>
      <c r="D53" s="166"/>
      <c r="E53" s="166"/>
      <c r="F53" s="40">
        <v>175</v>
      </c>
      <c r="G53" s="33" t="s">
        <v>26</v>
      </c>
      <c r="I53" s="102" t="s">
        <v>108</v>
      </c>
    </row>
    <row r="54" spans="1:16" ht="14.4" x14ac:dyDescent="0.3">
      <c r="A54" s="165" t="s">
        <v>47</v>
      </c>
      <c r="B54" s="166"/>
      <c r="C54" s="166"/>
      <c r="D54" s="166"/>
      <c r="E54" s="166"/>
      <c r="F54" s="139">
        <v>60000</v>
      </c>
      <c r="G54" s="41"/>
      <c r="I54" s="102" t="s">
        <v>108</v>
      </c>
      <c r="N54" s="100" t="s">
        <v>118</v>
      </c>
      <c r="O54" s="100"/>
    </row>
    <row r="55" spans="1:16" ht="14.4" x14ac:dyDescent="0.3">
      <c r="A55" s="165" t="s">
        <v>81</v>
      </c>
      <c r="B55" s="166"/>
      <c r="C55" s="166"/>
      <c r="D55" s="166"/>
      <c r="E55" s="166"/>
      <c r="F55" s="139">
        <v>15000</v>
      </c>
      <c r="G55" s="41"/>
      <c r="I55" s="102" t="s">
        <v>108</v>
      </c>
    </row>
    <row r="56" spans="1:16" ht="14.4" x14ac:dyDescent="0.3">
      <c r="A56" s="165" t="s">
        <v>48</v>
      </c>
      <c r="B56" s="166"/>
      <c r="C56" s="166"/>
      <c r="D56" s="166"/>
      <c r="E56" s="166"/>
      <c r="F56" s="139">
        <v>24000</v>
      </c>
      <c r="G56" s="41"/>
      <c r="I56" s="102" t="s">
        <v>108</v>
      </c>
    </row>
    <row r="57" spans="1:16" ht="14.4" x14ac:dyDescent="0.3">
      <c r="A57" s="165" t="s">
        <v>94</v>
      </c>
      <c r="B57" s="166"/>
      <c r="C57" s="166"/>
      <c r="D57" s="166"/>
      <c r="E57" s="166"/>
      <c r="F57" s="89">
        <v>10</v>
      </c>
      <c r="G57" s="88" t="s">
        <v>17</v>
      </c>
      <c r="I57" s="102" t="s">
        <v>108</v>
      </c>
    </row>
    <row r="58" spans="1:16" ht="14.4" x14ac:dyDescent="0.3">
      <c r="A58" s="165" t="s">
        <v>95</v>
      </c>
      <c r="B58" s="166"/>
      <c r="C58" s="166"/>
      <c r="D58" s="166"/>
      <c r="E58" s="166"/>
      <c r="F58" s="89">
        <v>5</v>
      </c>
      <c r="G58" s="88" t="s">
        <v>17</v>
      </c>
      <c r="I58" s="102" t="s">
        <v>108</v>
      </c>
    </row>
    <row r="59" spans="1:16" ht="15" thickBot="1" x14ac:dyDescent="0.35">
      <c r="A59" s="234" t="s">
        <v>96</v>
      </c>
      <c r="B59" s="235"/>
      <c r="C59" s="235"/>
      <c r="D59" s="235"/>
      <c r="E59" s="235"/>
      <c r="F59" s="42">
        <v>3</v>
      </c>
      <c r="G59" s="43" t="s">
        <v>17</v>
      </c>
      <c r="I59" s="102" t="s">
        <v>108</v>
      </c>
      <c r="N59" s="120" t="s">
        <v>117</v>
      </c>
      <c r="O59" s="120"/>
    </row>
    <row r="60" spans="1:16" x14ac:dyDescent="0.25">
      <c r="A60" s="18"/>
      <c r="B60" s="5"/>
      <c r="C60" s="5"/>
      <c r="D60" s="5"/>
      <c r="E60" s="5"/>
      <c r="F60" s="96"/>
      <c r="G60" s="18"/>
    </row>
    <row r="62" spans="1:16" x14ac:dyDescent="0.25">
      <c r="I62" s="100" t="s">
        <v>129</v>
      </c>
    </row>
    <row r="63" spans="1:16" hidden="1" x14ac:dyDescent="0.25">
      <c r="C63" s="1" t="str">
        <f>IF(F30=1,"metric","imperial")</f>
        <v>imperial</v>
      </c>
      <c r="D63" s="1" t="str">
        <f>IF(F38=1,"metric","imperial")</f>
        <v>metric</v>
      </c>
      <c r="F63" s="1" t="str">
        <f>IF(C63=D63,"Metric","imperial")</f>
        <v>imperial</v>
      </c>
      <c r="I63" s="100" t="s">
        <v>135</v>
      </c>
      <c r="K63" s="100" t="s">
        <v>136</v>
      </c>
    </row>
    <row r="64" spans="1:16" x14ac:dyDescent="0.25">
      <c r="I64" s="100" t="s">
        <v>137</v>
      </c>
    </row>
    <row r="65" spans="9:12" x14ac:dyDescent="0.25">
      <c r="I65" s="100" t="s">
        <v>138</v>
      </c>
    </row>
    <row r="68" spans="9:12" x14ac:dyDescent="0.25">
      <c r="I68" s="100" t="s">
        <v>139</v>
      </c>
      <c r="K68" s="100" t="s">
        <v>164</v>
      </c>
    </row>
    <row r="69" spans="9:12" x14ac:dyDescent="0.25">
      <c r="I69" s="100" t="s">
        <v>140</v>
      </c>
      <c r="J69" s="1">
        <f>2^(4-1)*5</f>
        <v>40</v>
      </c>
      <c r="K69" s="100" t="s">
        <v>141</v>
      </c>
    </row>
    <row r="70" spans="9:12" x14ac:dyDescent="0.25">
      <c r="I70" s="100" t="s">
        <v>142</v>
      </c>
      <c r="J70" s="1">
        <f>2^(5-1)*5</f>
        <v>80</v>
      </c>
      <c r="K70" s="100" t="s">
        <v>141</v>
      </c>
      <c r="L70" s="100" t="s">
        <v>143</v>
      </c>
    </row>
    <row r="71" spans="9:12" x14ac:dyDescent="0.25">
      <c r="L71" s="100" t="s">
        <v>144</v>
      </c>
    </row>
    <row r="73" spans="9:12" x14ac:dyDescent="0.25">
      <c r="I73" s="100" t="s">
        <v>153</v>
      </c>
    </row>
    <row r="108" spans="1:3" x14ac:dyDescent="0.25">
      <c r="A108" s="2"/>
      <c r="C108" s="2"/>
    </row>
    <row r="110" spans="1:3" x14ac:dyDescent="0.25">
      <c r="A110" s="2"/>
      <c r="C110" s="2"/>
    </row>
    <row r="112" spans="1:3" x14ac:dyDescent="0.25">
      <c r="A112" s="2"/>
      <c r="C112" s="2"/>
    </row>
    <row r="113" spans="1:3" x14ac:dyDescent="0.25">
      <c r="C113" s="2"/>
    </row>
    <row r="115" spans="1:3" x14ac:dyDescent="0.25">
      <c r="A115" s="2"/>
      <c r="C115" s="2"/>
    </row>
    <row r="117" spans="1:3" x14ac:dyDescent="0.25">
      <c r="A117" s="2"/>
      <c r="C117" s="2"/>
    </row>
    <row r="118" spans="1:3" x14ac:dyDescent="0.25">
      <c r="A118" s="2"/>
      <c r="C118" s="2"/>
    </row>
    <row r="120" spans="1:3" x14ac:dyDescent="0.25">
      <c r="A120" s="2"/>
      <c r="C120" s="2"/>
    </row>
    <row r="121" spans="1:3" x14ac:dyDescent="0.25">
      <c r="C121" s="2"/>
    </row>
    <row r="123" spans="1:3" x14ac:dyDescent="0.25">
      <c r="A123" s="2"/>
      <c r="C123" s="2"/>
    </row>
    <row r="124" spans="1:3" x14ac:dyDescent="0.25">
      <c r="C124" s="2"/>
    </row>
    <row r="129" spans="1:8" x14ac:dyDescent="0.25">
      <c r="C129" s="2"/>
    </row>
    <row r="130" spans="1:8" x14ac:dyDescent="0.25">
      <c r="A130" s="4"/>
      <c r="B130" s="4"/>
      <c r="C130" s="4"/>
      <c r="D130" s="4"/>
      <c r="E130" s="4"/>
      <c r="F130" s="4"/>
      <c r="G130" s="4"/>
      <c r="H130" s="4"/>
    </row>
    <row r="131" spans="1:8" x14ac:dyDescent="0.25">
      <c r="A131" s="2"/>
      <c r="C131" s="2"/>
      <c r="G131" s="2"/>
    </row>
    <row r="132" spans="1:8" x14ac:dyDescent="0.25">
      <c r="C132" s="2"/>
      <c r="G132" s="2"/>
    </row>
    <row r="133" spans="1:8" x14ac:dyDescent="0.25">
      <c r="A133" s="4"/>
      <c r="B133" s="4"/>
      <c r="C133" s="4"/>
      <c r="D133" s="4"/>
      <c r="E133" s="4"/>
      <c r="F133" s="4"/>
      <c r="G133" s="4"/>
      <c r="H133" s="4"/>
    </row>
    <row r="134" spans="1:8" x14ac:dyDescent="0.25">
      <c r="A134" s="2"/>
      <c r="C134" s="2"/>
      <c r="G134" s="2"/>
    </row>
    <row r="135" spans="1:8" x14ac:dyDescent="0.25">
      <c r="C135" s="2"/>
      <c r="G135" s="2"/>
    </row>
    <row r="136" spans="1:8" x14ac:dyDescent="0.25">
      <c r="A136" s="4"/>
      <c r="B136" s="4"/>
      <c r="C136" s="4"/>
      <c r="D136" s="4"/>
      <c r="E136" s="4"/>
      <c r="F136" s="4"/>
      <c r="G136" s="4"/>
      <c r="H136" s="4"/>
    </row>
    <row r="137" spans="1:8" x14ac:dyDescent="0.25">
      <c r="A137" s="2"/>
      <c r="C137" s="2"/>
      <c r="G137" s="2"/>
    </row>
    <row r="138" spans="1:8" x14ac:dyDescent="0.25">
      <c r="C138" s="2"/>
      <c r="G138" s="2"/>
    </row>
    <row r="139" spans="1:8" x14ac:dyDescent="0.25">
      <c r="A139" s="4"/>
      <c r="B139" s="4"/>
      <c r="C139" s="4"/>
      <c r="D139" s="4"/>
      <c r="E139" s="4"/>
      <c r="F139" s="4"/>
      <c r="G139" s="4"/>
      <c r="H139" s="4"/>
    </row>
    <row r="141" spans="1:8" x14ac:dyDescent="0.25">
      <c r="C141" s="2"/>
    </row>
    <row r="151" spans="1:15" x14ac:dyDescent="0.25">
      <c r="C151" s="2"/>
    </row>
    <row r="152" spans="1:15" x14ac:dyDescent="0.25">
      <c r="A152" s="4"/>
      <c r="B152" s="4"/>
      <c r="C152" s="4"/>
      <c r="D152" s="4"/>
      <c r="E152" s="4"/>
      <c r="F152" s="4"/>
      <c r="G152" s="4"/>
      <c r="H152" s="4"/>
    </row>
    <row r="154" spans="1:15" x14ac:dyDescent="0.25">
      <c r="A154" s="3"/>
      <c r="C154" s="2"/>
    </row>
    <row r="156" spans="1:15" x14ac:dyDescent="0.25">
      <c r="A156" s="3"/>
      <c r="C156" s="2"/>
      <c r="J156" s="2"/>
      <c r="N156" s="2"/>
      <c r="O156" s="2"/>
    </row>
    <row r="157" spans="1:15" x14ac:dyDescent="0.25">
      <c r="C157" s="2"/>
      <c r="J157" s="2"/>
      <c r="N157" s="2"/>
      <c r="O157" s="2"/>
    </row>
    <row r="158" spans="1:15" x14ac:dyDescent="0.25">
      <c r="C158" s="2"/>
      <c r="J158" s="2"/>
      <c r="N158" s="2"/>
      <c r="O158" s="2"/>
    </row>
    <row r="159" spans="1:15" x14ac:dyDescent="0.25">
      <c r="C159" s="2"/>
      <c r="J159" s="2"/>
      <c r="N159" s="2"/>
      <c r="O159" s="2"/>
    </row>
    <row r="161" spans="1:15" x14ac:dyDescent="0.25">
      <c r="A161" s="3"/>
      <c r="C161" s="2"/>
      <c r="J161" s="2"/>
      <c r="N161" s="2"/>
      <c r="O161" s="2"/>
    </row>
    <row r="162" spans="1:15" x14ac:dyDescent="0.25">
      <c r="C162" s="2"/>
      <c r="J162" s="2"/>
      <c r="N162" s="2"/>
      <c r="O162" s="2"/>
    </row>
    <row r="163" spans="1:15" x14ac:dyDescent="0.25">
      <c r="C163" s="2"/>
      <c r="J163" s="2"/>
      <c r="N163" s="2"/>
      <c r="O163" s="2"/>
    </row>
    <row r="164" spans="1:15" x14ac:dyDescent="0.25">
      <c r="C164" s="2"/>
      <c r="J164" s="2"/>
      <c r="N164" s="2"/>
      <c r="O164" s="2"/>
    </row>
    <row r="165" spans="1:15" x14ac:dyDescent="0.25">
      <c r="C165" s="2"/>
      <c r="J165" s="2"/>
      <c r="N165" s="2"/>
      <c r="O165" s="2"/>
    </row>
    <row r="166" spans="1:15" x14ac:dyDescent="0.25">
      <c r="C166" s="2"/>
      <c r="J166" s="2"/>
      <c r="N166" s="2"/>
      <c r="O166" s="2"/>
    </row>
    <row r="167" spans="1:15" x14ac:dyDescent="0.25">
      <c r="C167" s="2"/>
      <c r="J167" s="2"/>
      <c r="N167" s="2"/>
      <c r="O167" s="2"/>
    </row>
    <row r="168" spans="1:15" x14ac:dyDescent="0.25">
      <c r="C168" s="2"/>
      <c r="J168" s="2"/>
      <c r="N168" s="2"/>
      <c r="O168" s="2"/>
    </row>
    <row r="169" spans="1:15" x14ac:dyDescent="0.25">
      <c r="C169" s="2"/>
      <c r="J169" s="2"/>
      <c r="N169" s="2"/>
      <c r="O169" s="2"/>
    </row>
    <row r="170" spans="1:15" x14ac:dyDescent="0.25">
      <c r="C170" s="2"/>
      <c r="J170" s="2"/>
      <c r="N170" s="2"/>
      <c r="O170" s="2"/>
    </row>
    <row r="171" spans="1:15" x14ac:dyDescent="0.25">
      <c r="C171" s="2"/>
      <c r="J171" s="2"/>
      <c r="N171" s="2"/>
      <c r="O171" s="2"/>
    </row>
    <row r="172" spans="1:15" x14ac:dyDescent="0.25">
      <c r="C172" s="2"/>
      <c r="J172" s="2"/>
      <c r="N172" s="2"/>
      <c r="O172" s="2"/>
    </row>
    <row r="173" spans="1:15" x14ac:dyDescent="0.25">
      <c r="C173" s="2"/>
      <c r="J173" s="2"/>
      <c r="N173" s="2"/>
      <c r="O173" s="2"/>
    </row>
    <row r="174" spans="1:15" x14ac:dyDescent="0.25">
      <c r="C174" s="2"/>
      <c r="J174" s="2"/>
      <c r="N174" s="2"/>
      <c r="O174" s="2"/>
    </row>
    <row r="175" spans="1:15" x14ac:dyDescent="0.25">
      <c r="C175" s="2"/>
      <c r="J175" s="2"/>
      <c r="N175" s="2"/>
      <c r="O175" s="2"/>
    </row>
    <row r="176" spans="1:15" x14ac:dyDescent="0.25">
      <c r="N176" s="2"/>
      <c r="O176" s="2"/>
    </row>
    <row r="182" spans="1:8" x14ac:dyDescent="0.25">
      <c r="A182" s="3"/>
      <c r="C182" s="2"/>
    </row>
    <row r="184" spans="1:8" x14ac:dyDescent="0.25">
      <c r="A184" s="3"/>
      <c r="C184" s="2"/>
    </row>
    <row r="186" spans="1:8" x14ac:dyDescent="0.25">
      <c r="A186" s="4"/>
      <c r="B186" s="4"/>
      <c r="C186" s="4"/>
      <c r="D186" s="4"/>
      <c r="E186" s="4"/>
      <c r="F186" s="4"/>
      <c r="G186" s="4"/>
      <c r="H186" s="4"/>
    </row>
  </sheetData>
  <sheetProtection algorithmName="SHA-512" hashValue="tV1sDMBA+HefU3ZD4Dv/tbDUq6rPG9xtyc+ZnMXgz+IFyabo+rXEdOQFqepPpEoH715+H5xfRqyqA91jTYo6Sw==" saltValue="FuVh79CP+OQTHtk+iQu26Q==" spinCount="100000" sheet="1" objects="1" scenarios="1"/>
  <mergeCells count="53">
    <mergeCell ref="A57:E57"/>
    <mergeCell ref="A49:E49"/>
    <mergeCell ref="A59:E59"/>
    <mergeCell ref="D30:E30"/>
    <mergeCell ref="D31:E31"/>
    <mergeCell ref="A53:E53"/>
    <mergeCell ref="A54:E54"/>
    <mergeCell ref="A42:G42"/>
    <mergeCell ref="A43:E44"/>
    <mergeCell ref="B33:E33"/>
    <mergeCell ref="A56:E56"/>
    <mergeCell ref="A50:E50"/>
    <mergeCell ref="A58:E58"/>
    <mergeCell ref="D32:E32"/>
    <mergeCell ref="A29:A33"/>
    <mergeCell ref="B32:C32"/>
    <mergeCell ref="A1:G1"/>
    <mergeCell ref="A8:F8"/>
    <mergeCell ref="A16:F16"/>
    <mergeCell ref="A3:F3"/>
    <mergeCell ref="D4:F5"/>
    <mergeCell ref="D6:E6"/>
    <mergeCell ref="D9:F13"/>
    <mergeCell ref="D14:E14"/>
    <mergeCell ref="A4:A6"/>
    <mergeCell ref="A9:A14"/>
    <mergeCell ref="B6:C6"/>
    <mergeCell ref="A7:F7"/>
    <mergeCell ref="B14:C14"/>
    <mergeCell ref="A55:E55"/>
    <mergeCell ref="A37:A40"/>
    <mergeCell ref="A51:E51"/>
    <mergeCell ref="A52:E52"/>
    <mergeCell ref="B38:C39"/>
    <mergeCell ref="A45:E46"/>
    <mergeCell ref="B40:E40"/>
    <mergeCell ref="D39:E39"/>
    <mergeCell ref="A47:E48"/>
    <mergeCell ref="A23:D23"/>
    <mergeCell ref="D17:F18"/>
    <mergeCell ref="B19:C19"/>
    <mergeCell ref="D19:E19"/>
    <mergeCell ref="A17:A19"/>
    <mergeCell ref="A21:D21"/>
    <mergeCell ref="A22:D22"/>
    <mergeCell ref="D28:G29"/>
    <mergeCell ref="D36:G37"/>
    <mergeCell ref="D38:E38"/>
    <mergeCell ref="A24:D24"/>
    <mergeCell ref="A25:D25"/>
    <mergeCell ref="A27:G27"/>
    <mergeCell ref="A35:G35"/>
    <mergeCell ref="B30:C31"/>
  </mergeCells>
  <phoneticPr fontId="0" type="noConversion"/>
  <dataValidations count="6">
    <dataValidation type="decimal" allowBlank="1" showInputMessage="1" showErrorMessage="1" errorTitle="Intial Moisture Content" error="Please enter an Intial Moisture Content for the Grain Type " sqref="F24" xr:uid="{00000000-0002-0000-0100-000000000000}">
      <formula1>0</formula1>
      <formula2>50</formula2>
    </dataValidation>
    <dataValidation type="decimal" allowBlank="1" showInputMessage="1" showErrorMessage="1" sqref="F25" xr:uid="{00000000-0002-0000-0100-000001000000}">
      <formula1>0</formula1>
      <formula2>50</formula2>
    </dataValidation>
    <dataValidation type="whole" allowBlank="1" showErrorMessage="1" errorTitle="Dryer Type" error="Please enter 1 for Batch or 2 for Continuous Flow" sqref="F6 F19" xr:uid="{00000000-0002-0000-0100-000002000000}">
      <formula1>1</formula1>
      <formula2>2</formula2>
    </dataValidation>
    <dataValidation type="whole" allowBlank="1" showInputMessage="1" showErrorMessage="1" errorTitle="Grain Type" error="Please enter valid grain type from 1 - 6." sqref="F14:F15" xr:uid="{00000000-0002-0000-0100-000003000000}">
      <formula1>1</formula1>
      <formula2>5</formula2>
    </dataValidation>
    <dataValidation type="whole" allowBlank="1" showInputMessage="1" showErrorMessage="1" errorTitle="Metric or Imperial" error="Please 1 for Metric or 2 for Imperial measurements." sqref="F30" xr:uid="{00000000-0002-0000-0100-000004000000}">
      <formula1>1</formula1>
      <formula2>2</formula2>
    </dataValidation>
    <dataValidation type="whole" allowBlank="1" showInputMessage="1" showErrorMessage="1" errorTitle="Metric or Imperial" error="Please enter 1 for Metric or 2 for Imperial Measurements." sqref="F38" xr:uid="{00000000-0002-0000-0100-000005000000}">
      <formula1>1</formula1>
      <formula2>2</formula2>
    </dataValidation>
  </dataValidations>
  <printOptions horizontalCentered="1"/>
  <pageMargins left="0.74803149606299213" right="0.74803149606299213" top="0.74803149606299213" bottom="0.98425196850393704" header="0.51181102362204722" footer="0.51181102362204722"/>
  <pageSetup scale="76" firstPageNumber="2" orientation="portrait" cellComments="asDisplayed" useFirstPageNumber="1" r:id="rId1"/>
  <headerFooter scaleWithDoc="0">
    <oddHeader>&amp;L&amp;"Arial,Regular"Guidelines: Grain Drying Costs&amp;"Courier,Regular"
&amp;R&amp;"Arial,Regular"&amp;8&amp;P</oddHeader>
  </headerFooter>
  <rowBreaks count="2" manualBreakCount="2">
    <brk id="60" max="16383" man="1"/>
    <brk id="96" max="16383" man="1"/>
  </rowBreaks>
  <colBreaks count="1" manualBreakCount="1">
    <brk id="8"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53"/>
  <sheetViews>
    <sheetView showGridLines="0" zoomScale="90" zoomScaleNormal="90" workbookViewId="0">
      <selection sqref="A1:F1"/>
    </sheetView>
  </sheetViews>
  <sheetFormatPr defaultColWidth="9" defaultRowHeight="13.2" x14ac:dyDescent="0.25"/>
  <cols>
    <col min="1" max="2" width="9" style="1"/>
    <col min="3" max="3" width="10.21875" style="1" customWidth="1"/>
    <col min="4" max="4" width="12.88671875" style="1" bestFit="1" customWidth="1"/>
    <col min="5" max="5" width="13.44140625" style="1" customWidth="1"/>
    <col min="6" max="6" width="12.6640625" style="1" customWidth="1"/>
    <col min="7" max="7" width="9" style="1"/>
    <col min="8" max="10" width="0" style="1" hidden="1" customWidth="1"/>
    <col min="11" max="11" width="24.6640625" style="1" hidden="1" customWidth="1"/>
    <col min="12" max="25" width="0" style="1" hidden="1" customWidth="1"/>
    <col min="26" max="16384" width="9" style="1"/>
  </cols>
  <sheetData>
    <row r="1" spans="1:26" s="11" customFormat="1" ht="18" thickBot="1" x14ac:dyDescent="0.25">
      <c r="A1" s="208" t="s">
        <v>77</v>
      </c>
      <c r="B1" s="209"/>
      <c r="C1" s="209"/>
      <c r="D1" s="209"/>
      <c r="E1" s="209"/>
      <c r="F1" s="210"/>
    </row>
    <row r="2" spans="1:26" s="11" customFormat="1" x14ac:dyDescent="0.2"/>
    <row r="3" spans="1:26" s="45" customFormat="1" ht="15.6" x14ac:dyDescent="0.2">
      <c r="B3" s="44"/>
      <c r="C3" s="44" t="s">
        <v>62</v>
      </c>
      <c r="D3" s="254" t="str">
        <f>IF('Input Data'!F6=0,(" "),VLOOKUP('Input Data'!F6,Coefficients!B28:C29,2))</f>
        <v>Batch</v>
      </c>
      <c r="E3" s="254"/>
      <c r="H3" s="45" t="s">
        <v>105</v>
      </c>
    </row>
    <row r="4" spans="1:26" s="45" customFormat="1" ht="15.6" x14ac:dyDescent="0.2">
      <c r="B4" s="46"/>
      <c r="C4" s="44" t="s">
        <v>173</v>
      </c>
      <c r="D4" s="66" t="str">
        <f>IF('Input Data'!F19=1,'Input Data'!C17, 'Input Data'!C18)</f>
        <v>Propane</v>
      </c>
      <c r="H4" s="106" t="s">
        <v>174</v>
      </c>
    </row>
    <row r="5" spans="1:26" s="45" customFormat="1" ht="15.6" x14ac:dyDescent="0.2">
      <c r="B5" s="44"/>
      <c r="C5" s="44" t="s">
        <v>63</v>
      </c>
      <c r="D5" s="66" t="str">
        <f>IF('Input Data'!F14=0,(" "),VLOOKUP('Input Data'!F14,Coefficients!F21:G26,2))</f>
        <v>Corn</v>
      </c>
      <c r="E5" s="61"/>
      <c r="H5" s="45" t="s">
        <v>105</v>
      </c>
    </row>
    <row r="6" spans="1:26" s="45" customFormat="1" ht="15.6" x14ac:dyDescent="0.2">
      <c r="B6" s="5"/>
      <c r="C6" s="44" t="s">
        <v>86</v>
      </c>
      <c r="D6" s="47">
        <f>('Input Data'!F24)/100</f>
        <v>0.22</v>
      </c>
      <c r="E6" s="44"/>
      <c r="H6" s="45" t="s">
        <v>106</v>
      </c>
    </row>
    <row r="7" spans="1:26" s="45" customFormat="1" ht="15.6" x14ac:dyDescent="0.2">
      <c r="B7" s="5"/>
      <c r="C7" s="44" t="s">
        <v>85</v>
      </c>
      <c r="D7" s="64">
        <f>'Input Data'!F25/100</f>
        <v>0.154</v>
      </c>
      <c r="E7" s="44"/>
      <c r="H7" s="45" t="s">
        <v>106</v>
      </c>
    </row>
    <row r="8" spans="1:26" s="45" customFormat="1" ht="15" x14ac:dyDescent="0.2"/>
    <row r="9" spans="1:26" s="45" customFormat="1" ht="15.6" x14ac:dyDescent="0.2">
      <c r="B9" s="44"/>
      <c r="C9" s="44" t="s">
        <v>64</v>
      </c>
      <c r="D9" s="65">
        <f>IF('Input Data'!F6=1,'Input Data'!F32*VLOOKUP('Input Data'!F14,Coefficients!F13:G17,2)/'Input Data'!F33,IF('Input Data'!F6=2,'Input Data'!F40,0))</f>
        <v>4.083333333333333</v>
      </c>
      <c r="E9" s="49" t="str">
        <f>IF('Input Data'!F63="metric","Tonne/Hour","Bushels/Hour")</f>
        <v>Bushels/Hour</v>
      </c>
      <c r="H9" s="122" t="s">
        <v>165</v>
      </c>
      <c r="P9" s="45" t="s">
        <v>119</v>
      </c>
    </row>
    <row r="10" spans="1:26" s="45" customFormat="1" ht="15.6" x14ac:dyDescent="0.2">
      <c r="B10" s="5"/>
      <c r="C10" s="62" t="s">
        <v>79</v>
      </c>
      <c r="D10" s="48">
        <f>'Input Data'!F23</f>
        <v>100</v>
      </c>
      <c r="H10" s="45" t="s">
        <v>106</v>
      </c>
    </row>
    <row r="11" spans="1:26" s="45" customFormat="1" ht="15.6" x14ac:dyDescent="0.2">
      <c r="B11" s="5"/>
      <c r="C11" s="44" t="s">
        <v>80</v>
      </c>
      <c r="D11" s="48">
        <f>'Input Data'!F22</f>
        <v>0</v>
      </c>
      <c r="E11" s="44"/>
      <c r="H11" s="45" t="s">
        <v>106</v>
      </c>
    </row>
    <row r="12" spans="1:26" s="45" customFormat="1" ht="15.6" x14ac:dyDescent="0.2">
      <c r="D12" s="44"/>
      <c r="E12" s="5"/>
      <c r="F12" s="48"/>
    </row>
    <row r="13" spans="1:26" s="45" customFormat="1" ht="15.6" x14ac:dyDescent="0.2">
      <c r="D13" s="44"/>
      <c r="E13" s="5"/>
      <c r="F13" s="48"/>
    </row>
    <row r="14" spans="1:26" s="11" customFormat="1" x14ac:dyDescent="0.2"/>
    <row r="15" spans="1:26" s="11" customFormat="1" ht="15.6" x14ac:dyDescent="0.2">
      <c r="A15" s="251" t="s">
        <v>52</v>
      </c>
      <c r="B15" s="252"/>
      <c r="C15" s="252"/>
      <c r="D15" s="74" t="s">
        <v>49</v>
      </c>
      <c r="E15" s="74" t="s">
        <v>50</v>
      </c>
      <c r="F15" s="75" t="s">
        <v>51</v>
      </c>
      <c r="H15" s="107" t="s">
        <v>120</v>
      </c>
      <c r="L15" s="107" t="s">
        <v>121</v>
      </c>
      <c r="P15" s="107" t="s">
        <v>122</v>
      </c>
    </row>
    <row r="16" spans="1:26" s="11" customFormat="1" ht="15" x14ac:dyDescent="0.2">
      <c r="A16" s="259" t="s">
        <v>53</v>
      </c>
      <c r="B16" s="260"/>
      <c r="C16" s="260"/>
      <c r="D16" s="79">
        <f>('Input Data'!F54+'Input Data'!F55)*0.00015</f>
        <v>11.249999999999998</v>
      </c>
      <c r="E16" s="80">
        <f>IF(D16=0,0,F16*VLOOKUP('Input Data'!F14,Coefficients!B32:C37,2))</f>
        <v>6.9983286954285878E-2</v>
      </c>
      <c r="F16" s="81">
        <f>IF(D16=0,0,D16/IF('Input Data'!F6=1,'Input Data'!F32*VLOOKUP('Input Data'!F14,Coefficients!F13:G17,2)/'Input Data'!F33,IF('Input Data'!F6=2,'Input Data'!F40,0)))</f>
        <v>2.7551020408163263</v>
      </c>
      <c r="H16" s="107" t="s">
        <v>123</v>
      </c>
      <c r="L16" s="107" t="s">
        <v>134</v>
      </c>
      <c r="P16" s="107" t="s">
        <v>145</v>
      </c>
      <c r="Z16" s="107"/>
    </row>
    <row r="17" spans="1:24" s="11" customFormat="1" ht="15" x14ac:dyDescent="0.2">
      <c r="A17" s="259" t="s">
        <v>54</v>
      </c>
      <c r="B17" s="260"/>
      <c r="C17" s="260"/>
      <c r="D17" s="79">
        <f>'Input Data'!F52</f>
        <v>28</v>
      </c>
      <c r="E17" s="80">
        <f>IF(D17=0,0,F17*VLOOKUP('Input Data'!F14,Coefficients!B32:C37,2))</f>
        <v>0.17418062530844486</v>
      </c>
      <c r="F17" s="81">
        <f>IF(D17=0,0,D17/IF('Input Data'!F6=1,'Input Data'!F32*VLOOKUP('Input Data'!F14,Coefficients!F13:G17,2)/'Input Data'!F33,IF('Input Data'!F6=2,'Input Data'!F40,0)))</f>
        <v>6.8571428571428577</v>
      </c>
      <c r="H17" s="107" t="s">
        <v>124</v>
      </c>
      <c r="L17" s="107" t="s">
        <v>134</v>
      </c>
      <c r="P17" s="107" t="s">
        <v>146</v>
      </c>
      <c r="S17" s="107" t="s">
        <v>186</v>
      </c>
    </row>
    <row r="18" spans="1:24" s="11" customFormat="1" ht="15" x14ac:dyDescent="0.2">
      <c r="A18" s="259" t="s">
        <v>55</v>
      </c>
      <c r="B18" s="260"/>
      <c r="C18" s="260"/>
      <c r="D18" s="79">
        <f>'Input Data'!F44*'Input Data'!F50+'Input Data'!F51*Assumptions!H15</f>
        <v>1.42275</v>
      </c>
      <c r="E18" s="80">
        <f>IF(D18=0,0,F18*VLOOKUP('Input Data'!F14,Coefficients!B32:C37,2))</f>
        <v>8.8505530234853549E-3</v>
      </c>
      <c r="F18" s="81">
        <f>IF(D18=0,0,D18/IF('Input Data'!F6=1,'Input Data'!F32*VLOOKUP('Input Data'!F14,Coefficients!F13:G17,2)/'Input Data'!F33,IF('Input Data'!F6=2,'Input Data'!F40,0)))</f>
        <v>0.34842857142857142</v>
      </c>
      <c r="H18" s="107" t="s">
        <v>125</v>
      </c>
      <c r="L18" s="107" t="s">
        <v>134</v>
      </c>
      <c r="P18" s="107" t="s">
        <v>125</v>
      </c>
      <c r="V18" s="107" t="s">
        <v>182</v>
      </c>
    </row>
    <row r="19" spans="1:24" s="107" customFormat="1" ht="15" x14ac:dyDescent="0.2">
      <c r="A19" s="259" t="str">
        <f>IF('Input Data'!F19=1,"Propane Cost", "Natural Gas Cost")</f>
        <v>Propane Cost</v>
      </c>
      <c r="B19" s="260"/>
      <c r="C19" s="260"/>
      <c r="D19" s="79">
        <f>IF('Input Data'!F19=1,IF('Input Data'!F6=1,'Input Data'!F46*VLOOKUP('Input Data'!F14,Coefficients!F5:G10,2)*'Input Data'!F32*VLOOKUP('Input Data'!F14,Coefficients!F13:G17,2)/'Input Data'!F33,IF('Input Data'!F6=2,'Input Data'!F46*VLOOKUP('Input Data'!F14,Coefficients!F5:G10,2)*'Input Data'!F40,0)),IF('Input Data'!F6=1,'Input Data'!F46*VLOOKUP('Input Data'!F14,Coefficients!F5:G10,2)*'Input Data'!F32*VLOOKUP('Input Data'!F14,Coefficients!F13:G17,2)/'Input Data'!F33,IF('Input Data'!F6=2,'Input Data'!F46*VLOOKUP('Input Data'!F14,Coefficients!F5:G10,2)*'Input Data'!F40,0))/'Input Data'!$F$46*24000/35300*'Input Data'!F48)</f>
        <v>41.364945139509494</v>
      </c>
      <c r="E19" s="80">
        <f>IF(D19=0,0,F19*VLOOKUP('Input Data'!F14,Coefficients!B32:C37,2))</f>
        <v>0.25732042893747431</v>
      </c>
      <c r="F19" s="81">
        <f>IF(D19=0,0,D19/IF('Input Data'!F6=1,'Input Data'!F32*VLOOKUP('Input Data'!F14,Coefficients!F13:G17,2)/'Input Data'!F33,IF('Input Data'!F6=2,'Input Data'!F40,0)))</f>
        <v>10.130190646410488</v>
      </c>
      <c r="H19" s="107" t="s">
        <v>154</v>
      </c>
      <c r="L19" s="107" t="s">
        <v>134</v>
      </c>
      <c r="P19" s="107" t="s">
        <v>130</v>
      </c>
      <c r="S19" s="116" t="s">
        <v>170</v>
      </c>
      <c r="V19" s="79">
        <v>41.364945139509494</v>
      </c>
      <c r="W19" s="80">
        <v>0.25732042893747431</v>
      </c>
      <c r="X19" s="81">
        <v>10.130190646410488</v>
      </c>
    </row>
    <row r="20" spans="1:24" s="107" customFormat="1" ht="15" x14ac:dyDescent="0.2">
      <c r="A20" s="264" t="str">
        <f>IF('Input Data'!F19=1,"Propane use (Litre)", "Natural Gas use (m3)")</f>
        <v>Propane use (Litre)</v>
      </c>
      <c r="B20" s="265"/>
      <c r="C20" s="266"/>
      <c r="D20" s="99">
        <f>IF('Input Data'!F19=1,D19/'Input Data'!$F$46,D19/'Input Data'!$F$48)</f>
        <v>75.208991162744525</v>
      </c>
      <c r="E20" s="99">
        <f>IF('Input Data'!F19=1,E19/'Input Data'!$F$46,E19/'Input Data'!$F$48)</f>
        <v>0.46785532534086233</v>
      </c>
      <c r="F20" s="128">
        <f>IF('Input Data'!F19=1, F19/'Input Data'!$F$46, F19/'Input Data'!$F$48)</f>
        <v>18.418528448019067</v>
      </c>
      <c r="H20" s="107" t="s">
        <v>131</v>
      </c>
      <c r="L20" s="107" t="s">
        <v>133</v>
      </c>
      <c r="P20" s="107" t="s">
        <v>133</v>
      </c>
      <c r="S20" s="116" t="s">
        <v>171</v>
      </c>
      <c r="V20" s="99">
        <v>75.208991162744525</v>
      </c>
      <c r="W20" s="119">
        <v>0.46785532534086233</v>
      </c>
      <c r="X20" s="99">
        <v>18.418528448019067</v>
      </c>
    </row>
    <row r="21" spans="1:24" s="107" customFormat="1" ht="15" x14ac:dyDescent="0.2">
      <c r="A21" s="125" t="s">
        <v>99</v>
      </c>
      <c r="B21" s="126"/>
      <c r="C21" s="126"/>
      <c r="D21" s="127">
        <f>IF('Input Data'!F19=1,'Input Data'!$F$49*5.76/3.78541/1000*D20,'Input Data'!$F$49*53.12/1000*35.3147/1000*D20)</f>
        <v>0</v>
      </c>
      <c r="E21" s="127">
        <f>IF('Input Data'!F19=1,'Input Data'!$F$49*5.76/3.78541/1000*E20,'Input Data'!$F$49*53.12/1000*35.3147/1000*E20)</f>
        <v>0</v>
      </c>
      <c r="F21" s="129">
        <f>IF('Input Data'!F19=1, 'Input Data'!$F$49*5.76/3.78541/1000*F20,'Input Data'!$F$49*53.12/1000*35.3147/1000*F20)</f>
        <v>0</v>
      </c>
      <c r="H21" s="107" t="s">
        <v>132</v>
      </c>
      <c r="L21" s="107" t="s">
        <v>133</v>
      </c>
      <c r="P21" s="107" t="s">
        <v>133</v>
      </c>
      <c r="S21" s="116" t="s">
        <v>172</v>
      </c>
      <c r="V21" s="127">
        <v>2.2888077597798304</v>
      </c>
      <c r="W21" s="127">
        <v>1.4238070243188277E-2</v>
      </c>
      <c r="X21" s="127">
        <v>0.5605243493338361</v>
      </c>
    </row>
    <row r="22" spans="1:24" s="11" customFormat="1" ht="15.6" x14ac:dyDescent="0.2">
      <c r="A22" s="267" t="s">
        <v>56</v>
      </c>
      <c r="B22" s="268"/>
      <c r="C22" s="268"/>
      <c r="D22" s="98">
        <f>SUM(D16:D19)+D21</f>
        <v>82.037695139509495</v>
      </c>
      <c r="E22" s="98">
        <f>SUM(E16:E19)+E21</f>
        <v>0.51033489422369038</v>
      </c>
      <c r="F22" s="130">
        <f>SUM(F16:F19)+F21</f>
        <v>20.090864115798244</v>
      </c>
      <c r="H22" s="121" t="s">
        <v>176</v>
      </c>
      <c r="I22" s="121"/>
      <c r="J22" s="108" t="s">
        <v>185</v>
      </c>
      <c r="K22" s="121"/>
      <c r="L22" s="121"/>
      <c r="M22" s="121" t="s">
        <v>180</v>
      </c>
      <c r="N22" s="121"/>
      <c r="V22" s="98">
        <v>149.83519406203385</v>
      </c>
      <c r="W22" s="98">
        <v>0.93208527839061561</v>
      </c>
      <c r="X22" s="97">
        <v>36.694333239681761</v>
      </c>
    </row>
    <row r="23" spans="1:24" s="11" customFormat="1" ht="15" x14ac:dyDescent="0.2">
      <c r="A23" s="253"/>
      <c r="B23" s="253"/>
      <c r="C23" s="253"/>
      <c r="D23" s="45"/>
      <c r="E23" s="53"/>
      <c r="F23" s="45"/>
      <c r="H23" s="121" t="s">
        <v>169</v>
      </c>
      <c r="I23" s="121"/>
      <c r="J23" s="121" t="s">
        <v>177</v>
      </c>
      <c r="K23" s="121"/>
      <c r="L23" s="121"/>
      <c r="M23" s="121" t="s">
        <v>181</v>
      </c>
      <c r="N23" s="121"/>
      <c r="R23" s="117">
        <v>2.3314787260450802</v>
      </c>
      <c r="S23" s="117">
        <v>1.4503515085566732E-2</v>
      </c>
      <c r="T23" s="117">
        <v>0.57097438188859106</v>
      </c>
    </row>
    <row r="24" spans="1:24" s="11" customFormat="1" ht="15.6" x14ac:dyDescent="0.2">
      <c r="A24" s="257" t="s">
        <v>57</v>
      </c>
      <c r="B24" s="258"/>
      <c r="C24" s="258"/>
      <c r="D24" s="76"/>
      <c r="E24" s="77"/>
      <c r="F24" s="78"/>
      <c r="R24" s="118">
        <v>75.208991162744525</v>
      </c>
      <c r="S24" s="118">
        <v>0.46785532534086233</v>
      </c>
      <c r="T24" s="118">
        <v>18.418528448019067</v>
      </c>
      <c r="U24" s="107" t="s">
        <v>178</v>
      </c>
    </row>
    <row r="25" spans="1:24" s="11" customFormat="1" ht="15" x14ac:dyDescent="0.2">
      <c r="A25" s="259" t="s">
        <v>58</v>
      </c>
      <c r="B25" s="260"/>
      <c r="C25" s="260"/>
      <c r="D25" s="79">
        <f>IF('Input Data'!F53=0,0,(('Input Data'!F54+'Input Data'!F55)*'Input Data'!F57/100+'Input Data'!F56*'Input Data'!F58/100)/'Input Data'!F53)</f>
        <v>49.714285714285715</v>
      </c>
      <c r="E25" s="80">
        <f>IF(D25=0,0,F25*VLOOKUP('Input Data'!F14,Coefficients!B32:C36,2))</f>
        <v>0.30925947758846334</v>
      </c>
      <c r="F25" s="81">
        <f>IF(D25=0,0,D25/IF('Input Data'!F6=1,'Input Data'!F32*VLOOKUP('Input Data'!F14,Coefficients!F13:G17,2)/'Input Data'!F33,IF('Input Data'!F6=2,'Input Data'!F40,0)))</f>
        <v>12.174927113702624</v>
      </c>
      <c r="H25" s="123" t="s">
        <v>149</v>
      </c>
      <c r="L25" s="107" t="s">
        <v>134</v>
      </c>
      <c r="P25" s="107" t="s">
        <v>147</v>
      </c>
    </row>
    <row r="26" spans="1:24" s="11" customFormat="1" ht="15" x14ac:dyDescent="0.2">
      <c r="A26" s="269" t="s">
        <v>59</v>
      </c>
      <c r="B26" s="270"/>
      <c r="C26" s="270"/>
      <c r="D26" s="82">
        <f>IF('Input Data'!F53=0,0,(0.6*('Input Data'!F54+'Input Data'!F55+'Input Data'!F56))*'Input Data'!F59/100/'Input Data'!F53)</f>
        <v>10.182857142857143</v>
      </c>
      <c r="E26" s="83">
        <f>IF(D26=0,0,F26*VLOOKUP('Input Data'!F14,Coefficients!B32:C36,2))</f>
        <v>6.3344872306050778E-2</v>
      </c>
      <c r="F26" s="84">
        <f>IF(D26=0,0,D26/IF('Input Data'!F6=1,'Input Data'!F32*VLOOKUP('Input Data'!F14,Coefficients!F13:G17,2)/'Input Data'!F33,IF('Input Data'!F6=2,'Input Data'!F40,0)))</f>
        <v>2.4937609329446069</v>
      </c>
      <c r="H26" s="123" t="s">
        <v>150</v>
      </c>
      <c r="L26" s="107" t="s">
        <v>134</v>
      </c>
      <c r="P26" s="107" t="s">
        <v>148</v>
      </c>
    </row>
    <row r="27" spans="1:24" s="11" customFormat="1" ht="15.6" x14ac:dyDescent="0.2">
      <c r="A27" s="262" t="s">
        <v>60</v>
      </c>
      <c r="B27" s="263"/>
      <c r="C27" s="263"/>
      <c r="D27" s="50">
        <f>SUM(D25:D26)</f>
        <v>59.89714285714286</v>
      </c>
      <c r="E27" s="51">
        <f>SUM(E25:E26)</f>
        <v>0.37260434989451413</v>
      </c>
      <c r="F27" s="52">
        <f>SUM(F25:F26)</f>
        <v>14.668688046647231</v>
      </c>
    </row>
    <row r="28" spans="1:24" s="11" customFormat="1" x14ac:dyDescent="0.2">
      <c r="A28" s="261"/>
      <c r="B28" s="153"/>
      <c r="C28" s="153"/>
      <c r="D28" s="54"/>
      <c r="E28" s="55"/>
      <c r="F28" s="54"/>
    </row>
    <row r="29" spans="1:24" s="6" customFormat="1" ht="21" customHeight="1" x14ac:dyDescent="0.2">
      <c r="A29" s="255" t="s">
        <v>61</v>
      </c>
      <c r="B29" s="256"/>
      <c r="C29" s="256"/>
      <c r="D29" s="85">
        <f>D22+D27</f>
        <v>141.93483799665236</v>
      </c>
      <c r="E29" s="85">
        <f>E22+E27</f>
        <v>0.88293924411820446</v>
      </c>
      <c r="F29" s="85">
        <f>F22+F27</f>
        <v>34.759552162445473</v>
      </c>
      <c r="H29" s="107" t="s">
        <v>151</v>
      </c>
      <c r="L29" s="107" t="s">
        <v>133</v>
      </c>
      <c r="P29" s="107" t="s">
        <v>133</v>
      </c>
    </row>
    <row r="30" spans="1:24" s="6" customFormat="1" ht="21" customHeight="1" x14ac:dyDescent="0.2">
      <c r="A30" s="7"/>
      <c r="B30" s="8"/>
      <c r="C30" s="8"/>
      <c r="D30" s="9"/>
      <c r="E30" s="10"/>
      <c r="F30" s="9"/>
    </row>
    <row r="31" spans="1:24" s="6" customFormat="1" ht="21" customHeight="1" x14ac:dyDescent="0.2">
      <c r="A31" s="255" t="s">
        <v>89</v>
      </c>
      <c r="B31" s="256"/>
      <c r="C31" s="256"/>
      <c r="D31" s="87"/>
      <c r="E31" s="86">
        <f>IF(D29=0,0,F31*VLOOKUP('Input Data'!F14,Coefficients!B32:C36,2))</f>
        <v>6.0963218857955489E-3</v>
      </c>
      <c r="F31" s="85">
        <f>IF('Input Data'!F14=0,(" "),(VLOOKUP('Input Data'!F14,Coefficients!H21:I25,2)-'Input Data'!F25)*1.2*'Input Data'!F21/100)</f>
        <v>0.23999999999999916</v>
      </c>
      <c r="L31" s="107" t="s">
        <v>134</v>
      </c>
      <c r="P31" s="107" t="s">
        <v>152</v>
      </c>
    </row>
    <row r="32" spans="1:24" s="11" customFormat="1" x14ac:dyDescent="0.2"/>
    <row r="33" spans="1:10" s="11" customFormat="1" ht="12.75" customHeight="1" x14ac:dyDescent="0.25">
      <c r="A33" s="150" t="s">
        <v>191</v>
      </c>
      <c r="B33" s="151"/>
      <c r="C33" s="151"/>
      <c r="D33" s="151"/>
      <c r="E33" s="151"/>
      <c r="F33" s="151"/>
      <c r="G33" s="93"/>
      <c r="H33" s="124" t="s">
        <v>188</v>
      </c>
      <c r="I33" s="93"/>
    </row>
    <row r="34" spans="1:10" x14ac:dyDescent="0.25">
      <c r="A34" s="151"/>
      <c r="B34" s="151"/>
      <c r="C34" s="151"/>
      <c r="D34" s="151"/>
      <c r="E34" s="151"/>
      <c r="F34" s="151"/>
      <c r="G34" s="93"/>
      <c r="H34" s="124" t="s">
        <v>187</v>
      </c>
      <c r="I34" s="93"/>
    </row>
    <row r="35" spans="1:10" x14ac:dyDescent="0.25">
      <c r="A35" s="151"/>
      <c r="B35" s="151"/>
      <c r="C35" s="151"/>
      <c r="D35" s="151"/>
      <c r="E35" s="151"/>
      <c r="F35" s="151"/>
      <c r="G35" s="93"/>
      <c r="H35" s="124" t="s">
        <v>189</v>
      </c>
      <c r="I35" s="93"/>
    </row>
    <row r="36" spans="1:10" x14ac:dyDescent="0.25">
      <c r="A36" s="151"/>
      <c r="B36" s="151"/>
      <c r="C36" s="151"/>
      <c r="D36" s="151"/>
      <c r="E36" s="151"/>
      <c r="F36" s="151"/>
      <c r="G36" s="11"/>
      <c r="H36" s="11"/>
      <c r="I36" s="11"/>
    </row>
    <row r="37" spans="1:10" x14ac:dyDescent="0.25">
      <c r="A37" s="151"/>
      <c r="B37" s="151"/>
      <c r="C37" s="151"/>
      <c r="D37" s="151"/>
      <c r="E37" s="151"/>
      <c r="F37" s="151"/>
    </row>
    <row r="38" spans="1:10" x14ac:dyDescent="0.25">
      <c r="A38" s="151"/>
      <c r="B38" s="151"/>
      <c r="C38" s="151"/>
      <c r="D38" s="151"/>
      <c r="E38" s="151"/>
      <c r="F38" s="151"/>
    </row>
    <row r="39" spans="1:10" x14ac:dyDescent="0.25">
      <c r="A39" s="151"/>
      <c r="B39" s="151"/>
      <c r="C39" s="151"/>
      <c r="D39" s="151"/>
      <c r="E39" s="151"/>
      <c r="F39" s="151"/>
    </row>
    <row r="40" spans="1:10" customFormat="1" ht="14.55" customHeight="1" x14ac:dyDescent="0.25">
      <c r="A40" s="250" t="s">
        <v>203</v>
      </c>
      <c r="B40" s="250"/>
      <c r="C40" s="250"/>
      <c r="D40" s="250"/>
      <c r="E40" s="250"/>
      <c r="F40" s="250"/>
      <c r="H40" s="140"/>
      <c r="I40" s="141"/>
      <c r="J40" s="141"/>
    </row>
    <row r="41" spans="1:10" customFormat="1" ht="15.6" x14ac:dyDescent="0.2">
      <c r="F41" s="142"/>
    </row>
    <row r="42" spans="1:10" customFormat="1" ht="12" x14ac:dyDescent="0.2"/>
    <row r="43" spans="1:10" customFormat="1" ht="12" x14ac:dyDescent="0.2"/>
    <row r="44" spans="1:10" customFormat="1" ht="12" x14ac:dyDescent="0.2"/>
    <row r="45" spans="1:10" customFormat="1" ht="12" hidden="1" x14ac:dyDescent="0.2">
      <c r="A45" s="143"/>
      <c r="B45" s="143" t="s">
        <v>196</v>
      </c>
      <c r="C45" s="143"/>
      <c r="D45" s="143"/>
      <c r="E45" s="143"/>
      <c r="F45" s="143"/>
      <c r="G45" s="143" t="s">
        <v>197</v>
      </c>
      <c r="H45" s="143"/>
    </row>
    <row r="46" spans="1:10" customFormat="1" ht="12" hidden="1" x14ac:dyDescent="0.2">
      <c r="A46" s="143"/>
      <c r="B46" s="143" t="s">
        <v>198</v>
      </c>
      <c r="C46" s="143"/>
      <c r="D46" s="143"/>
      <c r="E46" s="143"/>
      <c r="F46" s="143"/>
      <c r="G46" s="143" t="s">
        <v>197</v>
      </c>
      <c r="H46" s="143"/>
    </row>
    <row r="47" spans="1:10" customFormat="1" ht="12" hidden="1" x14ac:dyDescent="0.2">
      <c r="A47" s="143"/>
      <c r="B47" s="143" t="s">
        <v>199</v>
      </c>
      <c r="C47" s="143"/>
      <c r="D47" s="143"/>
      <c r="E47" s="143"/>
      <c r="F47" s="143"/>
      <c r="G47" s="143" t="s">
        <v>197</v>
      </c>
      <c r="H47" s="143"/>
    </row>
    <row r="48" spans="1:10" customFormat="1" ht="12" hidden="1" x14ac:dyDescent="0.2">
      <c r="A48" s="143"/>
      <c r="B48" s="143" t="s">
        <v>200</v>
      </c>
      <c r="C48" s="143"/>
      <c r="D48" s="143"/>
      <c r="E48" s="143"/>
      <c r="F48" s="143"/>
      <c r="G48" s="143" t="s">
        <v>197</v>
      </c>
      <c r="H48" s="143"/>
    </row>
    <row r="49" spans="1:8" customFormat="1" ht="12" hidden="1" x14ac:dyDescent="0.2">
      <c r="A49" s="143"/>
      <c r="B49" s="143" t="s">
        <v>201</v>
      </c>
      <c r="C49" s="143"/>
      <c r="D49" s="143"/>
      <c r="E49" s="143"/>
      <c r="F49" s="143"/>
      <c r="G49" s="143" t="s">
        <v>197</v>
      </c>
      <c r="H49" s="143"/>
    </row>
    <row r="50" spans="1:8" customFormat="1" ht="12" hidden="1" x14ac:dyDescent="0.2">
      <c r="A50" s="143"/>
      <c r="B50" s="143" t="s">
        <v>6</v>
      </c>
      <c r="C50" s="143"/>
      <c r="D50" s="143"/>
      <c r="E50" s="143"/>
      <c r="F50" s="143"/>
      <c r="G50" s="143" t="s">
        <v>197</v>
      </c>
      <c r="H50" s="143"/>
    </row>
    <row r="51" spans="1:8" customFormat="1" ht="12" hidden="1" x14ac:dyDescent="0.2">
      <c r="A51" s="143"/>
      <c r="B51" s="143" t="s">
        <v>202</v>
      </c>
      <c r="C51" s="143"/>
      <c r="D51" s="143"/>
      <c r="E51" s="143"/>
      <c r="F51" s="143"/>
      <c r="G51" s="143" t="s">
        <v>197</v>
      </c>
      <c r="H51" s="143"/>
    </row>
    <row r="52" spans="1:8" customFormat="1" ht="12" hidden="1" x14ac:dyDescent="0.2">
      <c r="A52" s="143"/>
      <c r="B52" s="143" t="s">
        <v>65</v>
      </c>
      <c r="C52" s="143"/>
      <c r="D52" s="143"/>
      <c r="E52" s="143"/>
      <c r="F52" s="143"/>
      <c r="G52" s="143" t="s">
        <v>197</v>
      </c>
      <c r="H52" s="143"/>
    </row>
    <row r="53" spans="1:8" customFormat="1" ht="12" x14ac:dyDescent="0.2"/>
  </sheetData>
  <sheetProtection algorithmName="SHA-512" hashValue="TqAvytXmpk7Ldhbz45glrwyM6GkeRHaacHHnA28c46Yy1ubsVaASIY3CfLjlCuexhiTK+dYg06NoMz9eez6PqQ==" saltValue="5FhUYFQvygaDK64J5ZIHzg==" spinCount="100000" sheet="1" objects="1" scenarios="1"/>
  <mergeCells count="19">
    <mergeCell ref="A22:C22"/>
    <mergeCell ref="A25:C25"/>
    <mergeCell ref="A26:C26"/>
    <mergeCell ref="A40:F40"/>
    <mergeCell ref="A1:F1"/>
    <mergeCell ref="A15:C15"/>
    <mergeCell ref="A23:C23"/>
    <mergeCell ref="D3:E3"/>
    <mergeCell ref="A33:F39"/>
    <mergeCell ref="A31:C31"/>
    <mergeCell ref="A24:C24"/>
    <mergeCell ref="A16:C16"/>
    <mergeCell ref="A17:C17"/>
    <mergeCell ref="A18:C18"/>
    <mergeCell ref="A19:C19"/>
    <mergeCell ref="A28:C28"/>
    <mergeCell ref="A27:C27"/>
    <mergeCell ref="A29:C29"/>
    <mergeCell ref="A20:C20"/>
  </mergeCells>
  <phoneticPr fontId="0" type="noConversion"/>
  <printOptions horizontalCentered="1"/>
  <pageMargins left="0.74803149606299213" right="0.74803149606299213" top="0.98425196850393704" bottom="0.98425196850393704" header="0.51181102362204722" footer="0.51181102362204722"/>
  <pageSetup scale="90" firstPageNumber="3" orientation="portrait" useFirstPageNumber="1" r:id="rId1"/>
  <headerFooter scaleWithDoc="0">
    <oddHeader>&amp;L&amp;"Arial,Regular"Guidelines: Grain Drying Costs&amp;R&amp;"Arial,Regular"&amp;P</oddHeader>
    <oddFooter>&amp;L&amp;"Arial,Regular"Date printed: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5"/>
  <sheetViews>
    <sheetView showGridLines="0" zoomScaleNormal="100" workbookViewId="0">
      <selection activeCell="H2" sqref="H1:I1048576"/>
    </sheetView>
  </sheetViews>
  <sheetFormatPr defaultColWidth="9" defaultRowHeight="13.2" x14ac:dyDescent="0.25"/>
  <cols>
    <col min="1" max="1" width="9" style="1"/>
    <col min="2" max="2" width="3.21875" style="1" customWidth="1"/>
    <col min="3" max="6" width="9" style="1"/>
    <col min="7" max="7" width="15.21875" style="1" customWidth="1"/>
    <col min="8" max="8" width="9" style="132" hidden="1" customWidth="1"/>
    <col min="9" max="9" width="22.44140625" style="132" hidden="1" customWidth="1"/>
    <col min="10" max="16384" width="9" style="1"/>
  </cols>
  <sheetData>
    <row r="1" spans="1:9" ht="18" thickBot="1" x14ac:dyDescent="0.35">
      <c r="A1" s="275" t="s">
        <v>83</v>
      </c>
      <c r="B1" s="276"/>
      <c r="C1" s="276"/>
      <c r="D1" s="276"/>
      <c r="E1" s="276"/>
      <c r="F1" s="276"/>
      <c r="G1" s="276"/>
      <c r="H1" s="277"/>
    </row>
    <row r="4" spans="1:9" ht="15.6" x14ac:dyDescent="0.25">
      <c r="B4" s="278" t="s">
        <v>28</v>
      </c>
      <c r="C4" s="274"/>
      <c r="D4" s="274"/>
    </row>
    <row r="6" spans="1:9" ht="52.5" customHeight="1" x14ac:dyDescent="0.25">
      <c r="B6" s="90">
        <v>1</v>
      </c>
      <c r="C6" s="271" t="s">
        <v>97</v>
      </c>
      <c r="D6" s="272"/>
      <c r="E6" s="272"/>
      <c r="F6" s="272"/>
      <c r="G6" s="272"/>
    </row>
    <row r="7" spans="1:9" ht="15.6" x14ac:dyDescent="0.25">
      <c r="B7" s="90"/>
      <c r="C7" s="91"/>
      <c r="D7" s="91"/>
      <c r="E7" s="91"/>
      <c r="F7" s="91"/>
      <c r="G7" s="91"/>
    </row>
    <row r="8" spans="1:9" ht="32.25" customHeight="1" x14ac:dyDescent="0.25">
      <c r="B8" s="90">
        <v>2</v>
      </c>
      <c r="C8" s="271" t="str">
        <f>"Default value for electrical cost = $"&amp;'Input Data'!F44&amp;"/kWh which is the present runoff rate."</f>
        <v>Default value for electrical cost = $0.09485/kWh which is the present runoff rate.</v>
      </c>
      <c r="D8" s="272"/>
      <c r="E8" s="272"/>
      <c r="F8" s="272"/>
      <c r="G8" s="272"/>
    </row>
    <row r="9" spans="1:9" ht="15.6" x14ac:dyDescent="0.25">
      <c r="B9" s="90"/>
      <c r="C9" s="91"/>
      <c r="D9" s="91"/>
      <c r="E9" s="91"/>
      <c r="F9" s="91"/>
      <c r="G9" s="91"/>
    </row>
    <row r="10" spans="1:9" ht="15.6" x14ac:dyDescent="0.25">
      <c r="B10" s="90">
        <v>3</v>
      </c>
      <c r="C10" s="273" t="str">
        <f>"Default value for propane cost = $"&amp;'Input Data'!F46&amp;"/Litre."</f>
        <v>Default value for propane cost = $0.55/Litre.</v>
      </c>
      <c r="D10" s="274"/>
      <c r="E10" s="274"/>
      <c r="F10" s="274"/>
      <c r="G10" s="274"/>
    </row>
    <row r="11" spans="1:9" ht="15.6" x14ac:dyDescent="0.25">
      <c r="B11" s="90"/>
      <c r="C11" s="273" t="str">
        <f>"Default value for natural gas cost = $"&amp;'Input Data'!F48&amp;"/Litre."</f>
        <v>Default value for natural gas cost = $0.2151/Litre.</v>
      </c>
      <c r="D11" s="274"/>
      <c r="E11" s="274"/>
      <c r="F11" s="274"/>
      <c r="G11" s="274"/>
      <c r="H11" s="131"/>
    </row>
    <row r="12" spans="1:9" ht="15.6" x14ac:dyDescent="0.25">
      <c r="B12" s="90"/>
      <c r="C12" s="91"/>
      <c r="D12" s="91"/>
      <c r="E12" s="91"/>
      <c r="F12" s="91"/>
      <c r="G12" s="91"/>
    </row>
    <row r="13" spans="1:9" ht="32.25" customHeight="1" x14ac:dyDescent="0.25">
      <c r="B13" s="90">
        <v>4</v>
      </c>
      <c r="C13" s="271" t="s">
        <v>38</v>
      </c>
      <c r="D13" s="272"/>
      <c r="E13" s="272"/>
      <c r="F13" s="272"/>
      <c r="G13" s="272"/>
      <c r="H13" s="132">
        <v>1.4999999999999999E-4</v>
      </c>
      <c r="I13" s="131" t="s">
        <v>195</v>
      </c>
    </row>
    <row r="14" spans="1:9" ht="15.6" x14ac:dyDescent="0.25">
      <c r="B14" s="90"/>
      <c r="C14" s="91"/>
      <c r="D14" s="91"/>
      <c r="E14" s="91"/>
      <c r="F14" s="91"/>
      <c r="G14" s="91"/>
    </row>
    <row r="15" spans="1:9" ht="32.25" customHeight="1" x14ac:dyDescent="0.25">
      <c r="B15" s="90">
        <v>5</v>
      </c>
      <c r="C15" s="271" t="s">
        <v>193</v>
      </c>
      <c r="D15" s="272"/>
      <c r="E15" s="272"/>
      <c r="F15" s="272"/>
      <c r="G15" s="272"/>
      <c r="H15" s="131">
        <v>0.62050000000000005</v>
      </c>
      <c r="I15" s="131" t="s">
        <v>192</v>
      </c>
    </row>
    <row r="16" spans="1:9" ht="15.6" x14ac:dyDescent="0.25">
      <c r="B16" s="90"/>
      <c r="C16" s="91"/>
      <c r="D16" s="91"/>
      <c r="E16" s="91"/>
      <c r="F16" s="91"/>
      <c r="G16" s="91"/>
      <c r="H16" s="131"/>
    </row>
    <row r="17" spans="1:8" ht="15.6" x14ac:dyDescent="0.25">
      <c r="B17" s="90">
        <v>6</v>
      </c>
      <c r="C17" s="271" t="str">
        <f>"Depreciation Rate used - "&amp;'Input Data'!F57&amp;"% on dryer"</f>
        <v>Depreciation Rate used - 10% on dryer</v>
      </c>
      <c r="D17" s="272"/>
      <c r="E17" s="272"/>
      <c r="F17" s="272"/>
      <c r="G17" s="272"/>
      <c r="H17" s="133"/>
    </row>
    <row r="18" spans="1:8" ht="15.6" x14ac:dyDescent="0.25">
      <c r="B18" s="90"/>
      <c r="C18" s="91"/>
      <c r="D18" s="92" t="s">
        <v>42</v>
      </c>
      <c r="E18" s="273" t="str">
        <f>'Input Data'!F58&amp;"% on surge bins."</f>
        <v>5% on surge bins.</v>
      </c>
      <c r="F18" s="274"/>
      <c r="G18" s="274"/>
      <c r="H18" s="133"/>
    </row>
    <row r="19" spans="1:8" ht="15.6" x14ac:dyDescent="0.25">
      <c r="B19" s="90"/>
      <c r="C19" s="91"/>
      <c r="D19" s="91"/>
      <c r="E19" s="91"/>
      <c r="F19" s="91"/>
      <c r="G19" s="91"/>
    </row>
    <row r="20" spans="1:8" ht="15.6" x14ac:dyDescent="0.25">
      <c r="B20" s="90">
        <v>7</v>
      </c>
      <c r="C20" s="273" t="s">
        <v>45</v>
      </c>
      <c r="D20" s="274"/>
      <c r="E20" s="274"/>
      <c r="F20" s="274"/>
      <c r="G20" s="274"/>
    </row>
    <row r="21" spans="1:8" ht="15" x14ac:dyDescent="0.25">
      <c r="B21" s="91"/>
      <c r="C21" s="91"/>
      <c r="D21" s="91"/>
      <c r="E21" s="91"/>
      <c r="F21" s="91"/>
      <c r="G21" s="91"/>
    </row>
    <row r="22" spans="1:8" ht="63" customHeight="1" x14ac:dyDescent="0.25">
      <c r="B22" s="91"/>
      <c r="C22" s="279" t="s">
        <v>98</v>
      </c>
      <c r="D22" s="280"/>
      <c r="E22" s="280"/>
      <c r="F22" s="280"/>
      <c r="G22" s="280"/>
    </row>
    <row r="23" spans="1:8" x14ac:dyDescent="0.25">
      <c r="C23" s="2"/>
    </row>
    <row r="25" spans="1:8" x14ac:dyDescent="0.25">
      <c r="A25" s="101"/>
    </row>
  </sheetData>
  <sheetProtection algorithmName="SHA-512" hashValue="xGoYT97m7pd/FrVD4XwUzhqxmLCGlxBr2d3Xds507H06CSo9deDHmMTigmCt1a/R7HC5SgsBS406B260zVUi1w==" saltValue="x7gVUZSyYAO8byA22hNb8A==" spinCount="100000" sheet="1" objects="1" scenarios="1"/>
  <mergeCells count="12">
    <mergeCell ref="C22:G22"/>
    <mergeCell ref="C15:G15"/>
    <mergeCell ref="C20:G20"/>
    <mergeCell ref="C17:G17"/>
    <mergeCell ref="E18:G18"/>
    <mergeCell ref="C13:G13"/>
    <mergeCell ref="C11:G11"/>
    <mergeCell ref="A1:H1"/>
    <mergeCell ref="B4:D4"/>
    <mergeCell ref="C6:G6"/>
    <mergeCell ref="C8:G8"/>
    <mergeCell ref="C10:G10"/>
  </mergeCells>
  <phoneticPr fontId="0" type="noConversion"/>
  <printOptions horizontalCentered="1"/>
  <pageMargins left="0.74803149606299213" right="0.74803149606299213" top="0.98425196850393704" bottom="0.98425196850393704" header="0.51181102362204722" footer="0.51181102362204722"/>
  <pageSetup firstPageNumber="4" orientation="portrait" useFirstPageNumber="1" r:id="rId1"/>
  <headerFooter scaleWithDoc="0">
    <oddHeader>&amp;L&amp;"Arial,Regular"Guidelines: Grain Drying Costs&amp;R&amp;"Arial,Regular"&amp;P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7"/>
  <sheetViews>
    <sheetView showGridLines="0" zoomScaleNormal="100" workbookViewId="0">
      <selection sqref="A1:J1"/>
    </sheetView>
  </sheetViews>
  <sheetFormatPr defaultColWidth="9" defaultRowHeight="13.2" x14ac:dyDescent="0.25"/>
  <cols>
    <col min="1" max="3" width="9" style="1"/>
    <col min="4" max="4" width="10.21875" style="1" customWidth="1"/>
    <col min="5" max="5" width="12.44140625" style="1" customWidth="1"/>
    <col min="6" max="6" width="9" style="1"/>
    <col min="7" max="7" width="10.44140625" style="1" bestFit="1" customWidth="1"/>
    <col min="8" max="16384" width="9" style="1"/>
  </cols>
  <sheetData>
    <row r="1" spans="1:10" s="11" customFormat="1" ht="18" thickBot="1" x14ac:dyDescent="0.25">
      <c r="A1" s="208" t="s">
        <v>84</v>
      </c>
      <c r="B1" s="209"/>
      <c r="C1" s="209"/>
      <c r="D1" s="209"/>
      <c r="E1" s="209"/>
      <c r="F1" s="209"/>
      <c r="G1" s="209"/>
      <c r="H1" s="209"/>
      <c r="I1" s="209"/>
      <c r="J1" s="210"/>
    </row>
    <row r="2" spans="1:10" s="11" customFormat="1" x14ac:dyDescent="0.2"/>
    <row r="3" spans="1:10" s="11" customFormat="1" x14ac:dyDescent="0.2"/>
    <row r="4" spans="1:10" s="11" customFormat="1" x14ac:dyDescent="0.2">
      <c r="B4" s="281" t="s">
        <v>0</v>
      </c>
      <c r="C4" s="283"/>
      <c r="D4" s="281" t="s">
        <v>87</v>
      </c>
      <c r="E4" s="283"/>
      <c r="F4" s="281" t="s">
        <v>1</v>
      </c>
      <c r="G4" s="283"/>
    </row>
    <row r="5" spans="1:10" s="11" customFormat="1" x14ac:dyDescent="0.2">
      <c r="B5" s="56">
        <v>1</v>
      </c>
      <c r="C5" s="57">
        <v>2.7199999999999998E-2</v>
      </c>
      <c r="D5" s="56">
        <v>1</v>
      </c>
      <c r="E5" s="57">
        <f>IF('Input Data'!F6=1,('Input Data'!F23-'Input Data'!F22)/('Input Data'!F23-10)*355/('Input Data'!F23+273)*11.4,('Input Data'!F23-'Input Data'!F22)/('Input Data'!F23-10)*363/('Input Data'!F23+273)*10.5)</f>
        <v>12.055406613047364</v>
      </c>
      <c r="F5" s="56">
        <v>1</v>
      </c>
      <c r="G5" s="57">
        <f>IF('Input Data'!F24&gt;=19.5,E5+0.19*E5*('Input Data'!F24-19.5)+0.2*E5*(14.5-'Input Data'!F25),E5+0.16*E5*('Input Data'!F24-19.5)+0.2*E5*(14.5-'Input Data'!F25))</f>
        <v>15.611751563896336</v>
      </c>
    </row>
    <row r="6" spans="1:10" s="11" customFormat="1" x14ac:dyDescent="0.2">
      <c r="B6" s="56">
        <v>2</v>
      </c>
      <c r="C6" s="57">
        <v>2.18E-2</v>
      </c>
      <c r="D6" s="56">
        <v>2</v>
      </c>
      <c r="E6" s="57">
        <f>IF('Input Data'!F6=1,('Input Data'!F23-'Input Data'!F22)/('Input Data'!F23-10)*363/('Input Data'!F23+273)*11.3,('Input Data'!F23-'Input Data'!F22)/('Input Data'!F23-10)*353/('Input Data'!F23+273)*10.8)</f>
        <v>12.218945487042005</v>
      </c>
      <c r="F6" s="56">
        <v>2</v>
      </c>
      <c r="G6" s="57">
        <f>IF('Input Data'!F24&gt;=19.8,E6+0.19*E6*('Input Data'!F24-19.8)+0.2*E6*(14.8-'Input Data'!F25),E6+0.16*E6*('Input Data'!F24-19.8)+0.2*E6*(14.8-'Input Data'!F25))</f>
        <v>15.860191242180521</v>
      </c>
    </row>
    <row r="7" spans="1:10" s="11" customFormat="1" x14ac:dyDescent="0.2">
      <c r="B7" s="56">
        <v>3</v>
      </c>
      <c r="C7" s="57">
        <v>2.2700000000000001E-2</v>
      </c>
      <c r="D7" s="56">
        <v>3</v>
      </c>
      <c r="E7" s="57">
        <f>IF('Input Data'!F6=1,('Input Data'!F23-'Input Data'!F22)/('Input Data'!F23-10)*345/('Input Data'!F23+273)*10.2,('Input Data'!F23-'Input Data'!F22)/('Input Data'!F23-10)*335/('Input Data'!F23+273)*9)</f>
        <v>10.482573726541556</v>
      </c>
      <c r="F7" s="56">
        <v>3</v>
      </c>
      <c r="G7" s="57">
        <f>IF('Input Data'!F24&gt;=15,E7+0.19*E7*('Input Data'!F24-15)+0.2*E7*(10-'Input Data'!F25),E7+0.16*E7*('Input Data'!F24-15)+0.2*E7*(10-'Input Data'!F25))</f>
        <v>13.103217158176943</v>
      </c>
    </row>
    <row r="8" spans="1:10" s="11" customFormat="1" x14ac:dyDescent="0.2">
      <c r="B8" s="56">
        <v>4</v>
      </c>
      <c r="C8" s="57">
        <v>2.5399999999999999E-2</v>
      </c>
      <c r="D8" s="56">
        <v>4</v>
      </c>
      <c r="E8" s="57">
        <f>IF('Input Data'!F6=1,('Input Data'!F23-'Input Data'!F22)/('Input Data'!F23-10)*385/('Input Data'!F23+273)*22,('Input Data'!F23-'Input Data'!F22)/('Input Data'!F23-10)*378/('Input Data'!F23+273)*21.8)</f>
        <v>25.23086088769735</v>
      </c>
      <c r="F8" s="56">
        <v>4</v>
      </c>
      <c r="G8" s="57">
        <f>IF('Input Data'!F24&gt;=25.5,E8+0.095*E8*('Input Data'!F24-25.5)+0.1*E8*(15.5-'Input Data'!F25),E8+0.08*E8*('Input Data'!F24-25.5)+0.1*E8*(15.5-'Input Data'!F25))</f>
        <v>18.418528448019067</v>
      </c>
    </row>
    <row r="9" spans="1:10" s="11" customFormat="1" x14ac:dyDescent="0.2">
      <c r="B9" s="56">
        <v>5</v>
      </c>
      <c r="C9" s="57">
        <v>1.0200000000000001E-2</v>
      </c>
      <c r="D9" s="56">
        <v>5</v>
      </c>
      <c r="E9" s="57">
        <f>('Input Data'!F23-'Input Data'!F22)/('Input Data'!F23-10)*353/('Input Data'!F23+273)*('Input Data'!F24-'Input Data'!F25)*2.3</f>
        <v>15.962287756925823</v>
      </c>
      <c r="F9" s="56">
        <v>5</v>
      </c>
      <c r="G9" s="57">
        <f>E9</f>
        <v>15.962287756925823</v>
      </c>
    </row>
    <row r="10" spans="1:10" s="11" customFormat="1" x14ac:dyDescent="0.2">
      <c r="B10" s="56">
        <v>6</v>
      </c>
      <c r="C10" s="57"/>
      <c r="D10" s="56">
        <v>6</v>
      </c>
      <c r="E10" s="57"/>
      <c r="F10" s="56">
        <v>6</v>
      </c>
      <c r="G10" s="57"/>
    </row>
    <row r="11" spans="1:10" s="11" customFormat="1" x14ac:dyDescent="0.2"/>
    <row r="12" spans="1:10" s="11" customFormat="1" x14ac:dyDescent="0.2">
      <c r="B12" s="281" t="s">
        <v>7</v>
      </c>
      <c r="C12" s="282"/>
      <c r="D12" s="282"/>
      <c r="E12" s="282"/>
      <c r="F12" s="282"/>
      <c r="G12" s="283"/>
    </row>
    <row r="13" spans="1:10" s="11" customFormat="1" x14ac:dyDescent="0.2">
      <c r="B13" s="56">
        <v>1</v>
      </c>
      <c r="C13" s="56" t="str">
        <f>("17 % ")</f>
        <v xml:space="preserve">17 % </v>
      </c>
      <c r="D13" s="56">
        <v>1</v>
      </c>
      <c r="E13" s="56" t="str">
        <f>("- 25 %")</f>
        <v>- 25 %</v>
      </c>
      <c r="F13" s="56">
        <v>1</v>
      </c>
      <c r="G13" s="56">
        <v>0.77</v>
      </c>
    </row>
    <row r="14" spans="1:10" s="11" customFormat="1" x14ac:dyDescent="0.2">
      <c r="B14" s="56">
        <v>2</v>
      </c>
      <c r="C14" s="56" t="str">
        <f>("17 % ")</f>
        <v xml:space="preserve">17 % </v>
      </c>
      <c r="D14" s="56">
        <v>2</v>
      </c>
      <c r="E14" s="56" t="str">
        <f>("- 25 %")</f>
        <v>- 25 %</v>
      </c>
      <c r="F14" s="56">
        <v>2</v>
      </c>
      <c r="G14" s="56">
        <v>0.62</v>
      </c>
    </row>
    <row r="15" spans="1:10" s="11" customFormat="1" x14ac:dyDescent="0.2">
      <c r="B15" s="56">
        <v>3</v>
      </c>
      <c r="C15" s="56" t="str">
        <f>("12 % ")</f>
        <v xml:space="preserve">12 % </v>
      </c>
      <c r="D15" s="56">
        <v>3</v>
      </c>
      <c r="E15" s="56" t="str">
        <f>("- 20 %")</f>
        <v>- 20 %</v>
      </c>
      <c r="F15" s="56">
        <v>3</v>
      </c>
      <c r="G15" s="56">
        <v>0.64</v>
      </c>
    </row>
    <row r="16" spans="1:10" s="11" customFormat="1" x14ac:dyDescent="0.2">
      <c r="B16" s="56">
        <v>4</v>
      </c>
      <c r="C16" s="56" t="str">
        <f>("18 % ")</f>
        <v xml:space="preserve">18 % </v>
      </c>
      <c r="D16" s="56">
        <v>4</v>
      </c>
      <c r="E16" s="56" t="str">
        <f>("- 32 %")</f>
        <v>- 32 %</v>
      </c>
      <c r="F16" s="56">
        <v>4</v>
      </c>
      <c r="G16" s="56">
        <v>0.7</v>
      </c>
    </row>
    <row r="17" spans="2:9" s="11" customFormat="1" x14ac:dyDescent="0.2">
      <c r="B17" s="56">
        <v>5</v>
      </c>
      <c r="C17" s="56" t="str">
        <f>("12 % ")</f>
        <v xml:space="preserve">12 % </v>
      </c>
      <c r="D17" s="56">
        <v>5</v>
      </c>
      <c r="E17" s="56" t="str">
        <f>("- 20 %")</f>
        <v>- 20 %</v>
      </c>
      <c r="F17" s="56">
        <v>5</v>
      </c>
      <c r="G17" s="56">
        <v>0.28999999999999998</v>
      </c>
    </row>
    <row r="18" spans="2:9" s="11" customFormat="1" x14ac:dyDescent="0.2">
      <c r="B18" s="56">
        <v>6</v>
      </c>
      <c r="C18" s="56"/>
      <c r="D18" s="56">
        <v>6</v>
      </c>
      <c r="E18" s="56"/>
      <c r="F18" s="56">
        <v>6</v>
      </c>
      <c r="G18" s="56"/>
    </row>
    <row r="19" spans="2:9" s="11" customFormat="1" x14ac:dyDescent="0.2"/>
    <row r="20" spans="2:9" s="11" customFormat="1" x14ac:dyDescent="0.2">
      <c r="B20" s="281" t="s">
        <v>15</v>
      </c>
      <c r="C20" s="282"/>
      <c r="D20" s="282"/>
      <c r="E20" s="282"/>
      <c r="F20" s="282"/>
      <c r="G20" s="282"/>
      <c r="H20" s="282"/>
      <c r="I20" s="283"/>
    </row>
    <row r="21" spans="2:9" s="11" customFormat="1" x14ac:dyDescent="0.2">
      <c r="B21" s="56">
        <v>1</v>
      </c>
      <c r="C21" s="56" t="str">
        <f>("13 % ")</f>
        <v xml:space="preserve">13 % </v>
      </c>
      <c r="D21" s="56">
        <v>1</v>
      </c>
      <c r="E21" s="56" t="str">
        <f>("- 14.5 %")</f>
        <v>- 14.5 %</v>
      </c>
      <c r="F21" s="56">
        <v>1</v>
      </c>
      <c r="G21" s="56" t="str">
        <f>("Wheat")</f>
        <v>Wheat</v>
      </c>
      <c r="H21" s="56">
        <v>1</v>
      </c>
      <c r="I21" s="56">
        <v>14.5</v>
      </c>
    </row>
    <row r="22" spans="2:9" s="11" customFormat="1" x14ac:dyDescent="0.2">
      <c r="B22" s="56">
        <v>2</v>
      </c>
      <c r="C22" s="56" t="str">
        <f>("13.3 % ")</f>
        <v xml:space="preserve">13.3 % </v>
      </c>
      <c r="D22" s="56">
        <v>2</v>
      </c>
      <c r="E22" s="56" t="str">
        <f>("- 14.8 %")</f>
        <v>- 14.8 %</v>
      </c>
      <c r="F22" s="56">
        <v>2</v>
      </c>
      <c r="G22" s="56" t="str">
        <f>("Barley")</f>
        <v>Barley</v>
      </c>
      <c r="H22" s="56">
        <v>2</v>
      </c>
      <c r="I22" s="56">
        <v>14.8</v>
      </c>
    </row>
    <row r="23" spans="2:9" s="11" customFormat="1" x14ac:dyDescent="0.2">
      <c r="B23" s="56">
        <v>3</v>
      </c>
      <c r="C23" s="56" t="str">
        <f>("8.5 % ")</f>
        <v xml:space="preserve">8.5 % </v>
      </c>
      <c r="D23" s="56">
        <v>3</v>
      </c>
      <c r="E23" s="56" t="str">
        <f>("- 10 %")</f>
        <v>- 10 %</v>
      </c>
      <c r="F23" s="56">
        <v>3</v>
      </c>
      <c r="G23" s="56" t="str">
        <f>("Canola")</f>
        <v>Canola</v>
      </c>
      <c r="H23" s="56">
        <v>3</v>
      </c>
      <c r="I23" s="56">
        <v>10</v>
      </c>
    </row>
    <row r="24" spans="2:9" s="11" customFormat="1" x14ac:dyDescent="0.2">
      <c r="B24" s="56">
        <v>4</v>
      </c>
      <c r="C24" s="56" t="str">
        <f>("14 % ")</f>
        <v xml:space="preserve">14 % </v>
      </c>
      <c r="D24" s="56">
        <v>4</v>
      </c>
      <c r="E24" s="56" t="str">
        <f>("- 15.5 %")</f>
        <v>- 15.5 %</v>
      </c>
      <c r="F24" s="56">
        <v>4</v>
      </c>
      <c r="G24" s="56" t="str">
        <f>("Corn")</f>
        <v>Corn</v>
      </c>
      <c r="H24" s="56">
        <v>4</v>
      </c>
      <c r="I24" s="56">
        <v>15.5</v>
      </c>
    </row>
    <row r="25" spans="2:9" s="11" customFormat="1" x14ac:dyDescent="0.2">
      <c r="B25" s="56">
        <v>5</v>
      </c>
      <c r="C25" s="56" t="str">
        <f>("8 % ")</f>
        <v xml:space="preserve">8 % </v>
      </c>
      <c r="D25" s="56">
        <v>5</v>
      </c>
      <c r="E25" s="56" t="str">
        <f>("- 9.5 %")</f>
        <v>- 9.5 %</v>
      </c>
      <c r="F25" s="56">
        <v>5</v>
      </c>
      <c r="G25" s="56" t="str">
        <f>("Sunflower")</f>
        <v>Sunflower</v>
      </c>
      <c r="H25" s="56">
        <v>5</v>
      </c>
      <c r="I25" s="56">
        <v>9.5</v>
      </c>
    </row>
    <row r="26" spans="2:9" s="11" customFormat="1" x14ac:dyDescent="0.2">
      <c r="B26" s="56">
        <v>6</v>
      </c>
      <c r="C26" s="56"/>
      <c r="D26" s="56">
        <v>6</v>
      </c>
      <c r="E26" s="56"/>
      <c r="F26" s="56">
        <v>6</v>
      </c>
      <c r="G26" s="56" t="s">
        <v>78</v>
      </c>
      <c r="H26" s="56">
        <v>6</v>
      </c>
      <c r="I26" s="56"/>
    </row>
    <row r="27" spans="2:9" s="11" customFormat="1" x14ac:dyDescent="0.2"/>
    <row r="28" spans="2:9" s="11" customFormat="1" x14ac:dyDescent="0.2">
      <c r="B28" s="56">
        <v>1</v>
      </c>
      <c r="C28" s="284" t="str">
        <f>("Batch")</f>
        <v>Batch</v>
      </c>
      <c r="D28" s="285"/>
      <c r="E28" s="286"/>
    </row>
    <row r="29" spans="2:9" s="11" customFormat="1" x14ac:dyDescent="0.2">
      <c r="B29" s="56">
        <v>2</v>
      </c>
      <c r="C29" s="284" t="str">
        <f>("Continuous Flow")</f>
        <v>Continuous Flow</v>
      </c>
      <c r="D29" s="285"/>
      <c r="E29" s="286"/>
    </row>
    <row r="30" spans="2:9" s="11" customFormat="1" x14ac:dyDescent="0.2"/>
    <row r="31" spans="2:9" s="11" customFormat="1" x14ac:dyDescent="0.2"/>
    <row r="32" spans="2:9" s="11" customFormat="1" x14ac:dyDescent="0.2">
      <c r="B32" s="56">
        <v>1</v>
      </c>
      <c r="C32" s="56">
        <f>1/36.743</f>
        <v>2.7216068366763737E-2</v>
      </c>
    </row>
    <row r="33" spans="2:3" s="11" customFormat="1" x14ac:dyDescent="0.2">
      <c r="B33" s="56">
        <v>2</v>
      </c>
      <c r="C33" s="56">
        <f>1/45.929</f>
        <v>2.1772736179755708E-2</v>
      </c>
    </row>
    <row r="34" spans="2:3" s="11" customFormat="1" x14ac:dyDescent="0.2">
      <c r="B34" s="56">
        <v>3</v>
      </c>
      <c r="C34" s="56">
        <f>1/44.092</f>
        <v>2.2679851220175996E-2</v>
      </c>
    </row>
    <row r="35" spans="2:3" s="11" customFormat="1" x14ac:dyDescent="0.2">
      <c r="B35" s="56">
        <v>4</v>
      </c>
      <c r="C35" s="56">
        <f>1/39.368</f>
        <v>2.5401341190814875E-2</v>
      </c>
    </row>
    <row r="36" spans="2:3" s="11" customFormat="1" x14ac:dyDescent="0.2">
      <c r="B36" s="56">
        <v>5</v>
      </c>
      <c r="C36" s="56">
        <f>1/73.487</f>
        <v>1.3607849007307415E-2</v>
      </c>
    </row>
    <row r="37" spans="2:3" s="11" customFormat="1" x14ac:dyDescent="0.2">
      <c r="B37" s="56">
        <v>6</v>
      </c>
      <c r="C37" s="57"/>
    </row>
  </sheetData>
  <sheetProtection password="C6A6" sheet="1"/>
  <mergeCells count="8">
    <mergeCell ref="A1:J1"/>
    <mergeCell ref="B20:I20"/>
    <mergeCell ref="C28:E28"/>
    <mergeCell ref="C29:E29"/>
    <mergeCell ref="B4:C4"/>
    <mergeCell ref="D4:E4"/>
    <mergeCell ref="F4:G4"/>
    <mergeCell ref="B12:G12"/>
  </mergeCells>
  <phoneticPr fontId="0" type="noConversion"/>
  <printOptions horizontalCentered="1"/>
  <pageMargins left="0.74803149606299213" right="0.74803149606299213" top="0.98425196850393704" bottom="0.98425196850393704" header="0.51181102362204722" footer="0.51181102362204722"/>
  <pageSetup scale="86" firstPageNumber="5" orientation="portrait" useFirstPageNumber="1" r:id="rId1"/>
  <headerFooter scaleWithDoc="0">
    <oddHeader>&amp;L&amp;"Arial,Regular"Guidelines: Grain Drying Costs&amp;R&amp;"Arial,Regular"&amp;P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C7A14D8-A4D8-43C2-ACEB-6C091E09BA32}"/>
</file>

<file path=customXml/itemProps2.xml><?xml version="1.0" encoding="utf-8"?>
<ds:datastoreItem xmlns:ds="http://schemas.openxmlformats.org/officeDocument/2006/customXml" ds:itemID="{F4561B8E-F3F1-44FC-8687-F0376D4DD46E}"/>
</file>

<file path=customXml/itemProps3.xml><?xml version="1.0" encoding="utf-8"?>
<ds:datastoreItem xmlns:ds="http://schemas.openxmlformats.org/officeDocument/2006/customXml" ds:itemID="{C53CAE81-A930-4873-ACF5-239A4C3AC1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Information Sheet</vt:lpstr>
      <vt:lpstr>Input Data</vt:lpstr>
      <vt:lpstr>Crop Drying Cost Report</vt:lpstr>
      <vt:lpstr>Assumptions</vt:lpstr>
      <vt:lpstr>Coefficients</vt:lpstr>
      <vt:lpstr>\a</vt:lpstr>
      <vt:lpstr>\d</vt:lpstr>
      <vt:lpstr>\h</vt:lpstr>
      <vt:lpstr>\l</vt:lpstr>
      <vt:lpstr>\p</vt:lpstr>
      <vt:lpstr>'Input Data'!Print_Area</vt:lpstr>
    </vt:vector>
  </TitlesOfParts>
  <Manager>Ralph Pieper, rpieper@gov.mb.ca</Manager>
  <Company>Manitoba Agriculture and Food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Crop Drying Cost Calculator</dc:title>
  <dc:creator>Staff of Manitoba Agriculture and Food</dc:creator>
  <cp:keywords>Crop, Drying, Calculator, Grain</cp:keywords>
  <dc:description>Contact:_x000d_
Farm Management Section_x000d_
Manitoba Agriculture and Food_x000d_
Winnipeg, MB  R3C 0P8_x000d_
CANADA_x000d_
phone: 204-945-4937_x000d_
fax: 204-945-6134_x000d_
http://www.gov.mb.ca/agriculture/</dc:description>
  <cp:lastModifiedBy>Berthelette, Crystal</cp:lastModifiedBy>
  <cp:lastPrinted>2025-10-20T16:35:06Z</cp:lastPrinted>
  <dcterms:created xsi:type="dcterms:W3CDTF">1999-03-24T20:45:36Z</dcterms:created>
  <dcterms:modified xsi:type="dcterms:W3CDTF">2025-10-20T20:26:25Z</dcterms:modified>
  <cp:category>"cost of production", economics, crops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0x01010007C3257931C4EB4CBE667AF33D71167E</vt:lpwstr>
  </property>
</Properties>
</file>