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Mashinini\Desktop\"/>
    </mc:Choice>
  </mc:AlternateContent>
  <bookViews>
    <workbookView xWindow="360" yWindow="72" windowWidth="14352" windowHeight="7740"/>
  </bookViews>
  <sheets>
    <sheet name="Retirement Planner" sheetId="1"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H" localSheetId="0">#REF!</definedName>
    <definedName name="\H">#REF!</definedName>
    <definedName name="\I" localSheetId="0">#REF!</definedName>
    <definedName name="\I">#REF!</definedName>
    <definedName name="\K">#N/A</definedName>
    <definedName name="\L" localSheetId="0">#REF!</definedName>
    <definedName name="\L">#REF!</definedName>
    <definedName name="\N" localSheetId="0">#REF!</definedName>
    <definedName name="\N">#REF!</definedName>
    <definedName name="\O" localSheetId="0">#REF!</definedName>
    <definedName name="\O">#REF!</definedName>
    <definedName name="\P">#N/A</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W" localSheetId="0">#REF!</definedName>
    <definedName name="\W">#REF!</definedName>
    <definedName name="\X">#N/A</definedName>
    <definedName name="\Y" localSheetId="0">#REF!</definedName>
    <definedName name="\Y">#REF!</definedName>
    <definedName name="ALL">#N/A</definedName>
    <definedName name="_xlnm.Print_Area" localSheetId="0">'Retirement Planner'!$A$1:$I$83</definedName>
  </definedNames>
  <calcPr calcId="162913"/>
</workbook>
</file>

<file path=xl/calcChain.xml><?xml version="1.0" encoding="utf-8"?>
<calcChain xmlns="http://schemas.openxmlformats.org/spreadsheetml/2006/main">
  <c r="A31" i="1" l="1"/>
  <c r="B65" i="1"/>
  <c r="D65" i="1"/>
  <c r="F65" i="1"/>
  <c r="C65" i="1"/>
  <c r="D12" i="1"/>
  <c r="B12" i="1"/>
  <c r="G11" i="1"/>
  <c r="G10" i="1"/>
  <c r="Q44" i="1"/>
  <c r="Q45" i="1"/>
  <c r="Q46" i="1"/>
  <c r="Q47" i="1"/>
  <c r="Q48" i="1"/>
  <c r="Q49" i="1"/>
  <c r="Q50" i="1"/>
  <c r="Q51" i="1"/>
  <c r="Q52" i="1"/>
  <c r="Q53" i="1"/>
  <c r="Q54" i="1"/>
  <c r="Q55" i="1"/>
  <c r="Q56" i="1"/>
  <c r="Q57" i="1"/>
  <c r="Q58" i="1"/>
  <c r="Q59" i="1"/>
  <c r="Q60" i="1"/>
  <c r="B41" i="1"/>
  <c r="A41" i="1"/>
  <c r="A42" i="1"/>
  <c r="I4" i="1"/>
  <c r="B66" i="1"/>
  <c r="D66" i="1"/>
  <c r="F66" i="1" s="1"/>
  <c r="A43" i="1"/>
  <c r="B43" i="1"/>
  <c r="B42" i="1"/>
  <c r="C42" i="1"/>
  <c r="C41" i="1"/>
  <c r="C66" i="1"/>
  <c r="C67" i="1"/>
  <c r="B67" i="1"/>
  <c r="D67" i="1"/>
  <c r="F67" i="1" s="1"/>
  <c r="B68" i="1"/>
  <c r="A44" i="1"/>
  <c r="C43" i="1"/>
  <c r="C68" i="1"/>
  <c r="B69" i="1"/>
  <c r="D68" i="1"/>
  <c r="F68" i="1" s="1"/>
  <c r="C44" i="1"/>
  <c r="A45" i="1"/>
  <c r="B44" i="1"/>
  <c r="C69" i="1"/>
  <c r="B70" i="1"/>
  <c r="D69" i="1"/>
  <c r="F69" i="1" s="1"/>
  <c r="A46" i="1"/>
  <c r="B45" i="1"/>
  <c r="C45" i="1"/>
  <c r="B71" i="1"/>
  <c r="D70" i="1"/>
  <c r="C70" i="1"/>
  <c r="A47" i="1"/>
  <c r="C46" i="1"/>
  <c r="B46" i="1"/>
  <c r="D71" i="1"/>
  <c r="F71" i="1"/>
  <c r="B72" i="1"/>
  <c r="C71" i="1"/>
  <c r="C47" i="1"/>
  <c r="A48" i="1"/>
  <c r="B47" i="1"/>
  <c r="D72" i="1"/>
  <c r="F72" i="1" s="1"/>
  <c r="B73" i="1"/>
  <c r="C72" i="1"/>
  <c r="A49" i="1"/>
  <c r="C48" i="1"/>
  <c r="B48" i="1"/>
  <c r="D73" i="1"/>
  <c r="F73" i="1"/>
  <c r="B74" i="1"/>
  <c r="C73" i="1"/>
  <c r="C49" i="1"/>
  <c r="B49" i="1"/>
  <c r="A50" i="1"/>
  <c r="C74" i="1"/>
  <c r="B75" i="1"/>
  <c r="D74" i="1"/>
  <c r="F74" i="1" s="1"/>
  <c r="C50" i="1"/>
  <c r="A51" i="1"/>
  <c r="B50" i="1"/>
  <c r="D75" i="1"/>
  <c r="F75" i="1" s="1"/>
  <c r="C75" i="1"/>
  <c r="C51" i="1"/>
  <c r="B51" i="1"/>
  <c r="A52" i="1"/>
  <c r="B52" i="1"/>
  <c r="C52" i="1"/>
  <c r="A53" i="1"/>
  <c r="B53" i="1"/>
  <c r="A54" i="1"/>
  <c r="C53" i="1"/>
  <c r="A55" i="1"/>
  <c r="B54" i="1"/>
  <c r="C54" i="1"/>
  <c r="B55" i="1"/>
  <c r="C55" i="1"/>
  <c r="A56" i="1"/>
  <c r="A57" i="1"/>
  <c r="C56" i="1"/>
  <c r="B56" i="1"/>
  <c r="C57" i="1"/>
  <c r="B57" i="1"/>
  <c r="A58" i="1"/>
  <c r="B58" i="1"/>
  <c r="A59" i="1"/>
  <c r="C58" i="1"/>
  <c r="C59" i="1"/>
  <c r="B59" i="1"/>
  <c r="A60" i="1"/>
  <c r="C60" i="1"/>
  <c r="D60" i="1" s="1"/>
  <c r="B60" i="1"/>
  <c r="F41" i="1"/>
  <c r="F42" i="1"/>
  <c r="G41" i="1"/>
  <c r="H41" i="1"/>
  <c r="I41" i="1"/>
  <c r="G42" i="1"/>
  <c r="H42" i="1"/>
  <c r="I42" i="1"/>
  <c r="F43" i="1"/>
  <c r="I43" i="1"/>
  <c r="F44" i="1"/>
  <c r="G43" i="1"/>
  <c r="H43" i="1"/>
  <c r="H44" i="1"/>
  <c r="F45" i="1"/>
  <c r="G44" i="1"/>
  <c r="I44" i="1"/>
  <c r="G45" i="1"/>
  <c r="H45" i="1"/>
  <c r="I45" i="1"/>
  <c r="F46" i="1"/>
  <c r="I46" i="1"/>
  <c r="H46" i="1"/>
  <c r="F47" i="1"/>
  <c r="G46" i="1"/>
  <c r="F48" i="1"/>
  <c r="I47" i="1"/>
  <c r="H47" i="1"/>
  <c r="G47" i="1"/>
  <c r="I48" i="1"/>
  <c r="H48" i="1"/>
  <c r="G48" i="1"/>
  <c r="F49" i="1"/>
  <c r="F50" i="1"/>
  <c r="G49" i="1"/>
  <c r="H49" i="1"/>
  <c r="I49" i="1"/>
  <c r="H50" i="1"/>
  <c r="I50" i="1"/>
  <c r="G50" i="1"/>
  <c r="F51" i="1"/>
  <c r="I51" i="1"/>
  <c r="G51" i="1"/>
  <c r="F52" i="1"/>
  <c r="H51" i="1"/>
  <c r="G52" i="1"/>
  <c r="F53" i="1"/>
  <c r="I52" i="1"/>
  <c r="H52" i="1"/>
  <c r="H53" i="1"/>
  <c r="G53" i="1"/>
  <c r="F54" i="1"/>
  <c r="I53" i="1"/>
  <c r="I54" i="1"/>
  <c r="G54" i="1"/>
  <c r="F55" i="1"/>
  <c r="H54" i="1"/>
  <c r="G55" i="1"/>
  <c r="F56" i="1"/>
  <c r="I55" i="1"/>
  <c r="H55" i="1"/>
  <c r="F57" i="1"/>
  <c r="I56" i="1"/>
  <c r="G56" i="1"/>
  <c r="H56" i="1"/>
  <c r="I57" i="1"/>
  <c r="G57" i="1"/>
  <c r="H57" i="1"/>
  <c r="F58" i="1"/>
  <c r="H58" i="1"/>
  <c r="G58" i="1"/>
  <c r="I58" i="1"/>
  <c r="F59" i="1"/>
  <c r="F60" i="1"/>
  <c r="G59" i="1"/>
  <c r="H59" i="1"/>
  <c r="I59" i="1"/>
  <c r="I60" i="1"/>
  <c r="G60" i="1"/>
  <c r="H60" i="1"/>
  <c r="D59" i="1" l="1"/>
  <c r="D58" i="1" s="1"/>
  <c r="D57" i="1" s="1"/>
  <c r="D56" i="1" s="1"/>
  <c r="D55" i="1" s="1"/>
  <c r="D54" i="1" s="1"/>
  <c r="D53" i="1" s="1"/>
  <c r="D52" i="1" s="1"/>
  <c r="D51" i="1" s="1"/>
  <c r="F70" i="1"/>
  <c r="A25" i="1"/>
  <c r="E75" i="1" l="1"/>
  <c r="D50" i="1"/>
  <c r="D49" i="1" l="1"/>
  <c r="E74" i="1"/>
  <c r="I75" i="1"/>
  <c r="H75" i="1"/>
  <c r="I74" i="1" l="1"/>
  <c r="H74" i="1"/>
  <c r="E73" i="1"/>
  <c r="D48" i="1"/>
  <c r="E72" i="1" l="1"/>
  <c r="D47" i="1"/>
  <c r="H73" i="1"/>
  <c r="I73" i="1"/>
  <c r="E71" i="1" l="1"/>
  <c r="D46" i="1"/>
  <c r="I72" i="1"/>
  <c r="H72" i="1"/>
  <c r="E70" i="1" l="1"/>
  <c r="D45" i="1"/>
  <c r="I71" i="1"/>
  <c r="H71" i="1"/>
  <c r="H70" i="1" l="1"/>
  <c r="A37" i="1" s="1"/>
  <c r="I70" i="1"/>
  <c r="E69" i="1"/>
  <c r="D44" i="1"/>
  <c r="D43" i="1" l="1"/>
  <c r="E68" i="1"/>
  <c r="I69" i="1"/>
  <c r="H69" i="1"/>
  <c r="E67" i="1" l="1"/>
  <c r="D42" i="1"/>
  <c r="I68" i="1"/>
  <c r="H68" i="1"/>
  <c r="I67" i="1" l="1"/>
  <c r="H67" i="1"/>
  <c r="A36" i="1" s="1"/>
  <c r="E66" i="1"/>
  <c r="D41" i="1"/>
  <c r="A26" i="1" l="1"/>
  <c r="E65" i="1"/>
  <c r="A32" i="1"/>
  <c r="A24" i="1"/>
  <c r="I66" i="1"/>
  <c r="H66" i="1"/>
  <c r="A35" i="1" s="1"/>
  <c r="H65" i="1" l="1"/>
  <c r="A29" i="1" s="1"/>
  <c r="I65" i="1"/>
  <c r="A27" i="1"/>
</calcChain>
</file>

<file path=xl/comments1.xml><?xml version="1.0" encoding="utf-8"?>
<comments xmlns="http://schemas.openxmlformats.org/spreadsheetml/2006/main">
  <authors>
    <author>Roy Arnott</author>
  </authors>
  <commentList>
    <comment ref="F13" authorId="0" shapeId="0">
      <text>
        <r>
          <rPr>
            <sz val="9"/>
            <color indexed="81"/>
            <rFont val="Tahoma"/>
            <family val="2"/>
          </rPr>
          <t xml:space="preserve">
Average annual rate of inflation % based on Canadian Consumer Price Index (CPI) data.  2003 to 2022 average 2.415% or 48.32% total change.  
For more information http://www.bankofcanada.ca/rates/related/inflation-calculator/ </t>
        </r>
      </text>
    </comment>
    <comment ref="E15" authorId="0" shapeId="0">
      <text>
        <r>
          <rPr>
            <sz val="9"/>
            <color indexed="81"/>
            <rFont val="Tahoma"/>
            <family val="2"/>
          </rPr>
          <t xml:space="preserve">
The Canada Pension Plan (CPP) retirement pension provides a monthly benefit to eligible Canadians. CPP benfits can be estimated by accessing your My Service Canada Account at:
http://www.servicecanada.gc.ca/eng/online/mysca.shtml
The Statement of Contributions will give you a record of your pensionable earnings and your contributions to the Plan. Your statement shows your total CPP contributions for each year and the earnings on which your contributions are based. It also provides an estimate of what your pension or benefit would be if you and/or your family were eligible to receive it.  
For more information: http://www.servicecanada.gc.ca/eng/services/pensions/cpp/contributions/soc.shtml
</t>
        </r>
      </text>
    </comment>
    <comment ref="G15" authorId="0" shapeId="0">
      <text>
        <r>
          <rPr>
            <sz val="9"/>
            <color indexed="81"/>
            <rFont val="Tahoma"/>
            <family val="2"/>
          </rPr>
          <t xml:space="preserve">
Canada Pension Plan (CPP) rate increases are calculated once a year using the Consumer Price Index (CPI) All-Items Index. These increases are legislated under the Canada Pension Plan Act that benefits keep up with the cost of living. 2022 CPP rate increase is 2.7%  
For more information: http://www.servicecanada.gc.ca/eng/services/pensions/cpp/payments/cppcpi.shtml </t>
        </r>
      </text>
    </comment>
    <comment ref="G16" authorId="0" shapeId="0">
      <text>
        <r>
          <rPr>
            <sz val="9"/>
            <color indexed="81"/>
            <rFont val="Tahoma"/>
            <family val="2"/>
          </rPr>
          <t xml:space="preserve">
Some Private Pension Plans provide rate increases based on Consumer Price Index (CPI).  For more information please contact your employer. 
 </t>
        </r>
      </text>
    </comment>
  </commentList>
</comments>
</file>

<file path=xl/sharedStrings.xml><?xml version="1.0" encoding="utf-8"?>
<sst xmlns="http://schemas.openxmlformats.org/spreadsheetml/2006/main" count="47" uniqueCount="37">
  <si>
    <t>Printed:</t>
  </si>
  <si>
    <t>Period #1</t>
  </si>
  <si>
    <t>Period #2</t>
  </si>
  <si>
    <t>Year</t>
  </si>
  <si>
    <t>Age</t>
  </si>
  <si>
    <t>Age at Planned Retirement</t>
  </si>
  <si>
    <t>years  at</t>
  </si>
  <si>
    <t>Investment Return (Post Retirement)</t>
  </si>
  <si>
    <t>Birth Year</t>
  </si>
  <si>
    <t xml:space="preserve">. . . . . . . . . . . . . . . . . . . . . . . . . . . . . . . . . . . . . . . . . . . . . </t>
  </si>
  <si>
    <r>
      <t xml:space="preserve">*** Enter changes to </t>
    </r>
    <r>
      <rPr>
        <b/>
        <sz val="9"/>
        <color indexed="12"/>
        <rFont val="Arial"/>
        <family val="2"/>
      </rPr>
      <t xml:space="preserve">BLUE </t>
    </r>
    <r>
      <rPr>
        <sz val="9"/>
        <rFont val="Arial"/>
        <family val="2"/>
      </rPr>
      <t>values only ***</t>
    </r>
  </si>
  <si>
    <t>per year.</t>
  </si>
  <si>
    <t>Investment Return (Pre Retirement)</t>
  </si>
  <si>
    <t>Total Savings Required</t>
  </si>
  <si>
    <t>Additional Annual Savings Required</t>
  </si>
  <si>
    <t>Years Remaining Until Retirement</t>
  </si>
  <si>
    <t>Estimated Canada Pension Plan (CPP)</t>
  </si>
  <si>
    <t xml:space="preserve">Estimated Other Pension Plan </t>
  </si>
  <si>
    <t>Annual Inflation Index</t>
  </si>
  <si>
    <t>Planned Future Pre-tax Retirement Income Per Year (at today's current dollar values):</t>
  </si>
  <si>
    <t>Additional Monthly Savings Required</t>
  </si>
  <si>
    <t>Current Cash Retirement Savings</t>
  </si>
  <si>
    <t>Cash Income from Assets or Savings</t>
  </si>
  <si>
    <t xml:space="preserve">Cash Income from Assets or Savings </t>
  </si>
  <si>
    <t>Savings Value at Retirement</t>
  </si>
  <si>
    <t>or</t>
  </si>
  <si>
    <t>Cash Savings Required</t>
  </si>
  <si>
    <t>Retirement Income Annual Inflation Index Rate</t>
  </si>
  <si>
    <t>Projected Retirement Income, Savings &amp; Asset Planner</t>
  </si>
  <si>
    <t>Detailed Annual Income Summary</t>
  </si>
  <si>
    <t>Detailed Annual Savings Summary</t>
  </si>
  <si>
    <t>Retirement Saving Shortfall Planning Options:</t>
  </si>
  <si>
    <t>Retirement Savings Analysis</t>
  </si>
  <si>
    <t>Retirement Saving Required with Delayed Retirement Start Date:</t>
  </si>
  <si>
    <t xml:space="preserve"> (RRSP, TFSA, or cash assets)</t>
  </si>
  <si>
    <t>October, 2022</t>
  </si>
  <si>
    <r>
      <rPr>
        <b/>
        <sz val="10"/>
        <rFont val="Arial"/>
        <family val="2"/>
      </rPr>
      <t xml:space="preserve">Note: </t>
    </r>
    <r>
      <rPr>
        <sz val="10"/>
        <rFont val="Arial"/>
        <family val="2"/>
      </rPr>
      <t>This budget is only a guide and is not intended as an in-depth study of retirement savings planning. Interpretation and use of this information is the responsibility of the user.  If you need help with a budget, contact your a Farm Management Specialist.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</si>
</sst>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8" formatCode="&quot;$&quot;#,##0.00;[Red]\-&quot;$&quot;#,##0.00"/>
    <numFmt numFmtId="166" formatCode="&quot;$&quot;#,##0.00"/>
    <numFmt numFmtId="174" formatCode="&quot;$&quot;#,##0"/>
    <numFmt numFmtId="175" formatCode="0.0%"/>
    <numFmt numFmtId="176" formatCode="&quot;$&quot;#,##0_);[Red]\(&quot;$&quot;#,##0\)"/>
    <numFmt numFmtId="179" formatCode="0.0"/>
  </numFmts>
  <fonts count="29" x14ac:knownFonts="1">
    <font>
      <sz val="10"/>
      <name val="Arial"/>
      <family val="2"/>
    </font>
    <font>
      <b/>
      <sz val="12"/>
      <name val="Arial"/>
      <family val="2"/>
    </font>
    <font>
      <sz val="14"/>
      <name val="Arial"/>
      <family val="2"/>
    </font>
    <font>
      <b/>
      <sz val="14"/>
      <name val="Arial"/>
      <family val="2"/>
    </font>
    <font>
      <sz val="12"/>
      <name val="Arial"/>
      <family val="2"/>
    </font>
    <font>
      <sz val="8"/>
      <name val="Arial"/>
      <family val="2"/>
    </font>
    <font>
      <sz val="10"/>
      <name val="Arial"/>
      <family val="2"/>
    </font>
    <font>
      <b/>
      <sz val="10"/>
      <name val="Arial"/>
      <family val="2"/>
    </font>
    <font>
      <b/>
      <sz val="10"/>
      <color indexed="12"/>
      <name val="Arial"/>
      <family val="2"/>
    </font>
    <font>
      <u/>
      <sz val="10"/>
      <name val="Arial"/>
      <family val="2"/>
    </font>
    <font>
      <b/>
      <sz val="13.5"/>
      <name val="Arial"/>
      <family val="2"/>
    </font>
    <font>
      <sz val="9"/>
      <name val="Arial"/>
      <family val="2"/>
    </font>
    <font>
      <b/>
      <sz val="9"/>
      <color indexed="12"/>
      <name val="Arial"/>
      <family val="2"/>
    </font>
    <font>
      <sz val="9"/>
      <color indexed="81"/>
      <name val="Tahoma"/>
      <family val="2"/>
    </font>
    <font>
      <sz val="9"/>
      <color indexed="81"/>
      <name val="Tahoma"/>
      <family val="2"/>
    </font>
    <font>
      <b/>
      <u/>
      <sz val="8"/>
      <name val="Arial"/>
      <family val="2"/>
    </font>
    <font>
      <b/>
      <sz val="11"/>
      <name val="Arial"/>
      <family val="2"/>
    </font>
    <font>
      <u/>
      <sz val="11"/>
      <color theme="10"/>
      <name val="Calibri"/>
      <family val="2"/>
    </font>
    <font>
      <sz val="11"/>
      <color theme="1"/>
      <name val="Arial"/>
      <family val="2"/>
    </font>
    <font>
      <sz val="22"/>
      <color theme="1"/>
      <name val="Arial"/>
      <family val="2"/>
    </font>
    <font>
      <sz val="8"/>
      <color theme="1"/>
      <name val="Arial"/>
      <family val="2"/>
    </font>
    <font>
      <b/>
      <u/>
      <sz val="10"/>
      <color theme="10"/>
      <name val="Arial"/>
      <family val="2"/>
    </font>
    <font>
      <b/>
      <sz val="10"/>
      <color rgb="FF0000FF"/>
      <name val="Arial"/>
      <family val="2"/>
    </font>
    <font>
      <sz val="10"/>
      <color rgb="FFFF0000"/>
      <name val="Arial"/>
      <family val="2"/>
    </font>
    <font>
      <b/>
      <sz val="10"/>
      <color theme="1"/>
      <name val="Arial"/>
      <family val="2"/>
    </font>
    <font>
      <b/>
      <u/>
      <sz val="10"/>
      <color rgb="FF0000FF"/>
      <name val="Arial"/>
      <family val="2"/>
    </font>
    <font>
      <b/>
      <sz val="11"/>
      <color theme="0"/>
      <name val="Arial"/>
      <family val="2"/>
    </font>
    <font>
      <b/>
      <sz val="10"/>
      <color theme="0"/>
      <name val="Arial"/>
      <family val="2"/>
    </font>
    <font>
      <b/>
      <sz val="14"/>
      <color theme="0"/>
      <name val="Arial"/>
      <family val="2"/>
    </font>
  </fonts>
  <fills count="5">
    <fill>
      <patternFill patternType="none"/>
    </fill>
    <fill>
      <patternFill patternType="gray125"/>
    </fill>
    <fill>
      <patternFill patternType="solid">
        <fgColor theme="0" tint="-0.24994659260841701"/>
        <bgColor indexed="64"/>
      </patternFill>
    </fill>
    <fill>
      <patternFill patternType="solid">
        <fgColor theme="1"/>
        <bgColor indexed="64"/>
      </patternFill>
    </fill>
    <fill>
      <patternFill patternType="solid">
        <fgColor theme="0"/>
        <bgColor indexed="64"/>
      </patternFill>
    </fill>
  </fills>
  <borders count="12">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top"/>
    </xf>
    <xf numFmtId="0" fontId="17" fillId="0" borderId="0" applyNumberFormat="0" applyFill="0" applyBorder="0" applyAlignment="0" applyProtection="0">
      <alignment vertical="top"/>
      <protection locked="0"/>
    </xf>
    <xf numFmtId="166" fontId="4" fillId="0" borderId="0">
      <alignment vertical="top"/>
    </xf>
  </cellStyleXfs>
  <cellXfs count="155">
    <xf numFmtId="0" fontId="0" fillId="0" borderId="0" xfId="0">
      <alignment vertical="top"/>
    </xf>
    <xf numFmtId="0" fontId="2" fillId="0" borderId="0" xfId="0" applyFont="1" applyAlignment="1"/>
    <xf numFmtId="0" fontId="4" fillId="0" borderId="0" xfId="0" applyFont="1" applyAlignment="1" applyProtection="1"/>
    <xf numFmtId="0" fontId="3" fillId="0" borderId="0" xfId="0" applyFont="1" applyAlignment="1"/>
    <xf numFmtId="0" fontId="18" fillId="0" borderId="0" xfId="0" applyFont="1" applyFill="1" applyAlignment="1" applyProtection="1"/>
    <xf numFmtId="0" fontId="18" fillId="0" borderId="0" xfId="0" applyFont="1" applyFill="1" applyAlignment="1" applyProtection="1">
      <alignment horizontal="center"/>
    </xf>
    <xf numFmtId="0" fontId="0" fillId="0" borderId="0" xfId="0" applyFill="1" applyAlignment="1" applyProtection="1"/>
    <xf numFmtId="0" fontId="19" fillId="0" borderId="0" xfId="0" applyFont="1" applyFill="1" applyAlignment="1" applyProtection="1"/>
    <xf numFmtId="0" fontId="20" fillId="0" borderId="0" xfId="0" applyFont="1" applyFill="1" applyAlignment="1" applyProtection="1">
      <alignment horizontal="right"/>
    </xf>
    <xf numFmtId="0" fontId="0" fillId="0" borderId="0" xfId="0" applyAlignment="1"/>
    <xf numFmtId="0" fontId="0" fillId="0" borderId="0" xfId="0" applyAlignment="1" applyProtection="1"/>
    <xf numFmtId="0" fontId="4" fillId="2" borderId="1" xfId="0" applyFont="1" applyFill="1" applyBorder="1" applyAlignment="1" applyProtection="1"/>
    <xf numFmtId="14" fontId="5" fillId="0" borderId="0" xfId="0" applyNumberFormat="1" applyFont="1" applyAlignment="1" applyProtection="1">
      <alignment horizontal="right"/>
    </xf>
    <xf numFmtId="0" fontId="2" fillId="0" borderId="0" xfId="0" applyFont="1" applyAlignment="1" applyProtection="1"/>
    <xf numFmtId="0" fontId="3" fillId="0" borderId="0" xfId="0" applyFont="1" applyAlignment="1" applyProtection="1"/>
    <xf numFmtId="0" fontId="0" fillId="0" borderId="2" xfId="0" applyBorder="1" applyAlignment="1" applyProtection="1"/>
    <xf numFmtId="0" fontId="6" fillId="0" borderId="0" xfId="0" applyFont="1" applyAlignment="1"/>
    <xf numFmtId="175" fontId="6" fillId="0" borderId="0" xfId="0" applyNumberFormat="1" applyFont="1" applyAlignment="1"/>
    <xf numFmtId="166" fontId="21" fillId="0" borderId="0" xfId="1" applyNumberFormat="1" applyFont="1" applyProtection="1">
      <alignment vertical="top"/>
    </xf>
    <xf numFmtId="166" fontId="0" fillId="0" borderId="0" xfId="2" applyFont="1" applyBorder="1" applyProtection="1">
      <alignment vertical="top"/>
    </xf>
    <xf numFmtId="0" fontId="4" fillId="2" borderId="3" xfId="0" applyFont="1" applyFill="1" applyBorder="1" applyAlignment="1" applyProtection="1"/>
    <xf numFmtId="0" fontId="8" fillId="0" borderId="0" xfId="0" applyFont="1" applyFill="1" applyBorder="1" applyAlignment="1" applyProtection="1">
      <protection locked="0"/>
    </xf>
    <xf numFmtId="10" fontId="8" fillId="0" borderId="0" xfId="0" applyNumberFormat="1" applyFont="1" applyFill="1" applyBorder="1" applyAlignment="1" applyProtection="1">
      <protection locked="0"/>
    </xf>
    <xf numFmtId="0" fontId="11" fillId="0" borderId="0" xfId="0" applyFont="1" applyAlignment="1" applyProtection="1">
      <alignment horizontal="left"/>
    </xf>
    <xf numFmtId="0" fontId="10" fillId="2" borderId="4" xfId="0" applyFont="1" applyFill="1" applyBorder="1" applyAlignment="1" applyProtection="1"/>
    <xf numFmtId="0" fontId="7" fillId="2" borderId="5" xfId="0" applyFont="1" applyFill="1" applyBorder="1" applyAlignment="1" applyProtection="1">
      <alignment horizontal="left"/>
    </xf>
    <xf numFmtId="174" fontId="6" fillId="2" borderId="0" xfId="0" applyNumberFormat="1" applyFont="1" applyFill="1" applyBorder="1" applyAlignment="1" applyProtection="1"/>
    <xf numFmtId="0" fontId="6" fillId="2" borderId="0" xfId="0" applyFont="1" applyFill="1" applyBorder="1" applyAlignment="1" applyProtection="1"/>
    <xf numFmtId="0" fontId="0" fillId="2" borderId="0" xfId="0" applyFill="1" applyBorder="1" applyAlignment="1" applyProtection="1"/>
    <xf numFmtId="175" fontId="6" fillId="2" borderId="0" xfId="0" applyNumberFormat="1" applyFont="1" applyFill="1" applyBorder="1" applyAlignment="1" applyProtection="1"/>
    <xf numFmtId="10" fontId="6" fillId="2" borderId="6" xfId="0" applyNumberFormat="1" applyFont="1" applyFill="1" applyBorder="1" applyAlignment="1" applyProtection="1"/>
    <xf numFmtId="0" fontId="6" fillId="0" borderId="0" xfId="0" applyFont="1" applyAlignment="1" applyProtection="1"/>
    <xf numFmtId="174" fontId="6" fillId="0" borderId="0" xfId="0" applyNumberFormat="1" applyFont="1" applyAlignment="1" applyProtection="1"/>
    <xf numFmtId="0" fontId="8" fillId="2" borderId="0" xfId="0" applyFont="1" applyFill="1" applyBorder="1" applyAlignment="1" applyProtection="1"/>
    <xf numFmtId="174" fontId="6" fillId="0" borderId="0" xfId="0" applyNumberFormat="1" applyFont="1" applyFill="1" applyBorder="1" applyAlignment="1" applyProtection="1"/>
    <xf numFmtId="175" fontId="6" fillId="0" borderId="0" xfId="0" applyNumberFormat="1" applyFont="1" applyFill="1" applyBorder="1" applyAlignment="1" applyProtection="1"/>
    <xf numFmtId="0" fontId="6" fillId="2" borderId="5" xfId="0" applyFont="1" applyFill="1" applyBorder="1" applyAlignment="1" applyProtection="1"/>
    <xf numFmtId="0" fontId="0" fillId="2" borderId="5" xfId="0" applyFill="1" applyBorder="1" applyAlignment="1" applyProtection="1"/>
    <xf numFmtId="0" fontId="6" fillId="2" borderId="0" xfId="0" applyFont="1" applyFill="1" applyBorder="1" applyAlignment="1" applyProtection="1">
      <alignment horizontal="right"/>
    </xf>
    <xf numFmtId="174" fontId="0" fillId="2" borderId="0" xfId="0" applyNumberFormat="1" applyFill="1" applyBorder="1" applyAlignment="1" applyProtection="1">
      <alignment horizontal="right"/>
    </xf>
    <xf numFmtId="174" fontId="0" fillId="2" borderId="0" xfId="0" applyNumberFormat="1" applyFill="1" applyBorder="1" applyAlignment="1" applyProtection="1"/>
    <xf numFmtId="0" fontId="9" fillId="2" borderId="0" xfId="0" applyFont="1" applyFill="1" applyBorder="1" applyAlignment="1" applyProtection="1">
      <alignment horizontal="right"/>
    </xf>
    <xf numFmtId="0" fontId="0" fillId="2" borderId="0" xfId="0" applyFill="1" applyBorder="1" applyAlignment="1" applyProtection="1">
      <alignment horizontal="right"/>
    </xf>
    <xf numFmtId="0" fontId="7" fillId="2" borderId="0" xfId="0" applyFont="1" applyFill="1" applyBorder="1" applyAlignment="1" applyProtection="1">
      <alignment horizontal="center"/>
    </xf>
    <xf numFmtId="174" fontId="0" fillId="2" borderId="0" xfId="0" applyNumberFormat="1" applyFill="1" applyBorder="1" applyAlignment="1" applyProtection="1">
      <alignment horizontal="left"/>
    </xf>
    <xf numFmtId="174" fontId="22" fillId="2" borderId="0" xfId="0" applyNumberFormat="1" applyFont="1" applyFill="1" applyBorder="1" applyAlignment="1" applyProtection="1"/>
    <xf numFmtId="0" fontId="7" fillId="2" borderId="0" xfId="0" applyFont="1" applyFill="1" applyBorder="1" applyAlignment="1" applyProtection="1"/>
    <xf numFmtId="0" fontId="0" fillId="0" borderId="5" xfId="0" applyBorder="1" applyAlignment="1" applyProtection="1"/>
    <xf numFmtId="0" fontId="7" fillId="2" borderId="5" xfId="0" applyFont="1" applyFill="1" applyBorder="1" applyAlignment="1" applyProtection="1"/>
    <xf numFmtId="174" fontId="7" fillId="2" borderId="5" xfId="0" applyNumberFormat="1" applyFont="1" applyFill="1" applyBorder="1" applyAlignment="1" applyProtection="1"/>
    <xf numFmtId="174" fontId="7" fillId="2" borderId="7" xfId="0" applyNumberFormat="1" applyFont="1" applyFill="1" applyBorder="1" applyAlignment="1" applyProtection="1"/>
    <xf numFmtId="0" fontId="0" fillId="2" borderId="2" xfId="0" applyFill="1" applyBorder="1" applyAlignment="1" applyProtection="1"/>
    <xf numFmtId="0" fontId="6" fillId="2" borderId="2" xfId="0" applyFont="1" applyFill="1" applyBorder="1" applyAlignment="1" applyProtection="1"/>
    <xf numFmtId="10" fontId="8" fillId="2" borderId="2" xfId="0" applyNumberFormat="1" applyFont="1" applyFill="1" applyBorder="1" applyAlignment="1" applyProtection="1"/>
    <xf numFmtId="175" fontId="6" fillId="2" borderId="2" xfId="0" applyNumberFormat="1" applyFont="1" applyFill="1" applyBorder="1" applyAlignment="1" applyProtection="1"/>
    <xf numFmtId="10" fontId="6" fillId="2" borderId="8" xfId="0" applyNumberFormat="1" applyFont="1" applyFill="1" applyBorder="1" applyAlignment="1" applyProtection="1"/>
    <xf numFmtId="0" fontId="6" fillId="0" borderId="0" xfId="0" applyFont="1" applyFill="1" applyAlignment="1" applyProtection="1"/>
    <xf numFmtId="174" fontId="6" fillId="0" borderId="0" xfId="0" applyNumberFormat="1" applyFont="1" applyFill="1" applyAlignment="1" applyProtection="1"/>
    <xf numFmtId="10" fontId="8" fillId="0" borderId="0" xfId="0" applyNumberFormat="1" applyFont="1" applyFill="1" applyAlignment="1" applyProtection="1"/>
    <xf numFmtId="175" fontId="6" fillId="0" borderId="0" xfId="0" applyNumberFormat="1" applyFont="1" applyFill="1" applyAlignment="1" applyProtection="1"/>
    <xf numFmtId="10" fontId="6" fillId="0" borderId="0" xfId="0" applyNumberFormat="1" applyFont="1" applyAlignment="1" applyProtection="1"/>
    <xf numFmtId="0" fontId="1" fillId="0" borderId="0" xfId="0" applyFont="1" applyFill="1" applyBorder="1" applyAlignment="1" applyProtection="1">
      <alignment horizontal="center"/>
    </xf>
    <xf numFmtId="0" fontId="7" fillId="2" borderId="5" xfId="0" applyFont="1" applyFill="1" applyBorder="1" applyAlignment="1" applyProtection="1">
      <alignment horizontal="center"/>
    </xf>
    <xf numFmtId="174" fontId="7" fillId="2" borderId="0" xfId="0" applyNumberFormat="1" applyFont="1" applyFill="1" applyBorder="1" applyAlignment="1" applyProtection="1">
      <alignment horizontal="center" wrapText="1"/>
    </xf>
    <xf numFmtId="175" fontId="0" fillId="2" borderId="0" xfId="0" applyNumberFormat="1" applyFont="1" applyFill="1" applyBorder="1" applyAlignment="1" applyProtection="1"/>
    <xf numFmtId="174" fontId="7" fillId="2" borderId="6" xfId="0" applyNumberFormat="1" applyFont="1" applyFill="1" applyBorder="1" applyAlignment="1" applyProtection="1">
      <alignment horizontal="center" wrapText="1"/>
    </xf>
    <xf numFmtId="0" fontId="6" fillId="0" borderId="5" xfId="0" applyFont="1" applyFill="1" applyBorder="1" applyAlignment="1" applyProtection="1">
      <alignment horizontal="center"/>
    </xf>
    <xf numFmtId="0" fontId="6" fillId="0" borderId="0" xfId="0" applyFont="1" applyFill="1" applyBorder="1" applyAlignment="1" applyProtection="1">
      <alignment horizontal="center"/>
    </xf>
    <xf numFmtId="176" fontId="6" fillId="0" borderId="0" xfId="0" applyNumberFormat="1" applyFont="1" applyFill="1" applyBorder="1" applyAlignment="1" applyProtection="1"/>
    <xf numFmtId="176" fontId="6" fillId="0" borderId="6" xfId="0" applyNumberFormat="1" applyFont="1" applyFill="1" applyBorder="1" applyAlignment="1" applyProtection="1"/>
    <xf numFmtId="0" fontId="0" fillId="0" borderId="7" xfId="0" applyBorder="1" applyAlignment="1" applyProtection="1"/>
    <xf numFmtId="175" fontId="6" fillId="0" borderId="2" xfId="0" applyNumberFormat="1" applyFont="1" applyFill="1" applyBorder="1" applyAlignment="1" applyProtection="1"/>
    <xf numFmtId="0" fontId="6" fillId="0" borderId="2" xfId="0" applyFont="1" applyFill="1" applyBorder="1" applyAlignment="1" applyProtection="1">
      <alignment horizontal="center"/>
    </xf>
    <xf numFmtId="176" fontId="6" fillId="0" borderId="2" xfId="0" applyNumberFormat="1" applyFont="1" applyFill="1" applyBorder="1" applyAlignment="1" applyProtection="1"/>
    <xf numFmtId="176" fontId="6" fillId="0" borderId="8" xfId="0" applyNumberFormat="1" applyFont="1" applyFill="1" applyBorder="1" applyAlignment="1" applyProtection="1"/>
    <xf numFmtId="0" fontId="22" fillId="0" borderId="0" xfId="0" applyFont="1" applyFill="1" applyBorder="1" applyAlignment="1" applyProtection="1">
      <alignment horizontal="center"/>
      <protection locked="0"/>
    </xf>
    <xf numFmtId="174" fontId="22" fillId="0" borderId="0" xfId="0" applyNumberFormat="1" applyFont="1" applyFill="1" applyBorder="1" applyAlignment="1" applyProtection="1">
      <protection locked="0"/>
    </xf>
    <xf numFmtId="174" fontId="0" fillId="2" borderId="0" xfId="0" applyNumberFormat="1" applyFont="1" applyFill="1" applyBorder="1" applyAlignment="1" applyProtection="1"/>
    <xf numFmtId="0" fontId="0" fillId="2" borderId="0" xfId="0" applyFont="1" applyFill="1" applyBorder="1" applyAlignment="1" applyProtection="1"/>
    <xf numFmtId="174" fontId="8" fillId="0" borderId="0" xfId="0" applyNumberFormat="1" applyFont="1" applyFill="1" applyBorder="1" applyAlignment="1" applyProtection="1">
      <protection locked="0"/>
    </xf>
    <xf numFmtId="175" fontId="7" fillId="2" borderId="0" xfId="0" applyNumberFormat="1" applyFont="1" applyFill="1" applyBorder="1" applyAlignment="1" applyProtection="1">
      <alignment horizontal="center" wrapText="1"/>
    </xf>
    <xf numFmtId="174" fontId="23" fillId="2" borderId="0" xfId="0" applyNumberFormat="1" applyFont="1" applyFill="1" applyBorder="1" applyAlignment="1" applyProtection="1">
      <alignment horizontal="left"/>
    </xf>
    <xf numFmtId="175" fontId="0" fillId="0" borderId="0" xfId="0" applyNumberFormat="1" applyAlignment="1"/>
    <xf numFmtId="8" fontId="0" fillId="0" borderId="0" xfId="0" applyNumberFormat="1" applyAlignment="1"/>
    <xf numFmtId="2" fontId="6" fillId="0" borderId="0" xfId="0" applyNumberFormat="1" applyFont="1" applyAlignment="1"/>
    <xf numFmtId="8" fontId="6" fillId="0" borderId="0" xfId="0" applyNumberFormat="1" applyFont="1" applyAlignment="1" applyProtection="1"/>
    <xf numFmtId="174" fontId="7" fillId="2" borderId="0" xfId="0" applyNumberFormat="1" applyFont="1" applyFill="1" applyBorder="1" applyAlignment="1" applyProtection="1"/>
    <xf numFmtId="0" fontId="6" fillId="0" borderId="0" xfId="0" applyNumberFormat="1" applyFont="1" applyFill="1" applyBorder="1" applyAlignment="1" applyProtection="1">
      <alignment horizontal="center"/>
    </xf>
    <xf numFmtId="8" fontId="2" fillId="0" borderId="0" xfId="0" applyNumberFormat="1" applyFont="1" applyAlignment="1" applyProtection="1"/>
    <xf numFmtId="8" fontId="0" fillId="0" borderId="0" xfId="0" applyNumberFormat="1" applyAlignment="1" applyProtection="1"/>
    <xf numFmtId="0" fontId="7" fillId="0" borderId="0" xfId="0" applyFont="1" applyFill="1" applyBorder="1" applyAlignment="1" applyProtection="1">
      <alignment vertical="center"/>
    </xf>
    <xf numFmtId="0" fontId="7" fillId="0" borderId="5" xfId="0" applyFont="1" applyFill="1" applyBorder="1" applyAlignment="1" applyProtection="1">
      <alignment vertical="center"/>
    </xf>
    <xf numFmtId="0" fontId="7" fillId="0" borderId="6" xfId="0" applyFont="1" applyFill="1" applyBorder="1" applyAlignment="1" applyProtection="1">
      <alignment vertical="center"/>
    </xf>
    <xf numFmtId="0" fontId="7" fillId="0" borderId="7" xfId="0" applyFont="1" applyFill="1" applyBorder="1" applyAlignment="1" applyProtection="1">
      <alignment vertical="center"/>
    </xf>
    <xf numFmtId="0" fontId="7" fillId="0" borderId="2" xfId="0" applyFont="1" applyFill="1" applyBorder="1" applyAlignment="1" applyProtection="1">
      <alignment vertical="center"/>
    </xf>
    <xf numFmtId="0" fontId="7" fillId="0" borderId="8" xfId="0" applyFont="1" applyFill="1" applyBorder="1" applyAlignment="1" applyProtection="1">
      <alignment vertical="center"/>
    </xf>
    <xf numFmtId="0" fontId="7" fillId="2" borderId="0" xfId="0" applyFont="1" applyFill="1" applyBorder="1" applyAlignment="1" applyProtection="1">
      <alignment horizontal="center" wrapText="1"/>
    </xf>
    <xf numFmtId="175" fontId="7" fillId="2" borderId="6" xfId="0" applyNumberFormat="1" applyFont="1" applyFill="1" applyBorder="1" applyAlignment="1" applyProtection="1">
      <alignment horizontal="center" wrapText="1"/>
    </xf>
    <xf numFmtId="174" fontId="6" fillId="0" borderId="6" xfId="0" applyNumberFormat="1" applyFont="1" applyBorder="1" applyAlignment="1" applyProtection="1"/>
    <xf numFmtId="0" fontId="24" fillId="0" borderId="0" xfId="0" applyFont="1" applyBorder="1" applyAlignment="1" applyProtection="1"/>
    <xf numFmtId="0" fontId="0" fillId="0" borderId="0" xfId="0" applyFont="1" applyAlignment="1"/>
    <xf numFmtId="0" fontId="0" fillId="0" borderId="2" xfId="0" applyFont="1" applyBorder="1" applyAlignment="1"/>
    <xf numFmtId="0" fontId="24" fillId="0" borderId="2" xfId="0" applyFont="1" applyBorder="1" applyAlignment="1" applyProtection="1">
      <alignment horizontal="right"/>
    </xf>
    <xf numFmtId="1" fontId="0" fillId="0" borderId="0" xfId="0" applyNumberFormat="1" applyFont="1" applyAlignment="1"/>
    <xf numFmtId="179" fontId="0" fillId="0" borderId="0" xfId="0" applyNumberFormat="1" applyFont="1" applyAlignment="1"/>
    <xf numFmtId="166" fontId="0" fillId="0" borderId="0" xfId="0" applyNumberFormat="1" applyFont="1" applyAlignment="1"/>
    <xf numFmtId="0" fontId="24" fillId="0" borderId="1" xfId="0" applyFont="1" applyBorder="1" applyAlignment="1" applyProtection="1">
      <alignment horizontal="left" vertical="center"/>
    </xf>
    <xf numFmtId="0" fontId="0" fillId="0" borderId="1" xfId="0" applyFont="1" applyBorder="1" applyAlignment="1" applyProtection="1"/>
    <xf numFmtId="0" fontId="7" fillId="0" borderId="0" xfId="0" applyFont="1" applyAlignment="1"/>
    <xf numFmtId="0" fontId="7" fillId="0" borderId="0" xfId="0" applyFont="1" applyAlignment="1" applyProtection="1"/>
    <xf numFmtId="166" fontId="21" fillId="0" borderId="0" xfId="1" applyNumberFormat="1" applyFont="1" applyFill="1" applyProtection="1">
      <alignment vertical="top"/>
    </xf>
    <xf numFmtId="0" fontId="25" fillId="0" borderId="0" xfId="0" applyFont="1" applyAlignment="1">
      <alignment horizontal="left" vertical="top"/>
    </xf>
    <xf numFmtId="0" fontId="0" fillId="0" borderId="0" xfId="0" applyFont="1" applyAlignment="1" applyProtection="1"/>
    <xf numFmtId="1" fontId="24" fillId="0" borderId="0" xfId="0" applyNumberFormat="1" applyFont="1" applyBorder="1" applyAlignment="1" applyProtection="1">
      <alignment horizontal="left"/>
    </xf>
    <xf numFmtId="0" fontId="3" fillId="0" borderId="0" xfId="0" applyFont="1" applyFill="1" applyAlignment="1" applyProtection="1">
      <alignment horizontal="left"/>
    </xf>
    <xf numFmtId="166" fontId="0" fillId="0" borderId="0" xfId="2" applyFont="1" applyAlignment="1" applyProtection="1">
      <alignment horizontal="left" vertical="top" wrapText="1"/>
    </xf>
    <xf numFmtId="166" fontId="6" fillId="0" borderId="0" xfId="2" applyFont="1" applyAlignment="1" applyProtection="1">
      <alignment horizontal="left" vertical="top" wrapText="1"/>
    </xf>
    <xf numFmtId="0" fontId="27" fillId="3" borderId="9" xfId="0" applyFont="1" applyFill="1" applyBorder="1" applyAlignment="1" applyProtection="1">
      <alignment horizontal="center" vertical="center"/>
    </xf>
    <xf numFmtId="0" fontId="27" fillId="3" borderId="10" xfId="0" applyFont="1" applyFill="1" applyBorder="1" applyAlignment="1" applyProtection="1">
      <alignment horizontal="center" vertical="center"/>
    </xf>
    <xf numFmtId="0" fontId="27" fillId="3" borderId="11" xfId="0" applyFont="1" applyFill="1" applyBorder="1" applyAlignment="1" applyProtection="1">
      <alignment horizontal="center" vertical="center"/>
    </xf>
    <xf numFmtId="0" fontId="16" fillId="4" borderId="5" xfId="0" applyFont="1" applyFill="1" applyBorder="1" applyAlignment="1" applyProtection="1">
      <alignment horizontal="left" vertical="center"/>
    </xf>
    <xf numFmtId="0" fontId="16" fillId="4" borderId="0" xfId="0" applyFont="1" applyFill="1" applyBorder="1" applyAlignment="1" applyProtection="1">
      <alignment horizontal="left" vertical="center"/>
    </xf>
    <xf numFmtId="0" fontId="16" fillId="4" borderId="6" xfId="0" applyFont="1" applyFill="1" applyBorder="1" applyAlignment="1" applyProtection="1">
      <alignment horizontal="left" vertical="center"/>
    </xf>
    <xf numFmtId="0" fontId="7" fillId="0" borderId="5"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6" xfId="0" applyFont="1" applyFill="1" applyBorder="1" applyAlignment="1" applyProtection="1">
      <alignment horizontal="left" vertical="center"/>
    </xf>
    <xf numFmtId="0" fontId="16" fillId="4" borderId="5" xfId="0" applyFont="1" applyFill="1" applyBorder="1" applyAlignment="1" applyProtection="1">
      <alignment horizontal="left" vertical="center" wrapText="1"/>
    </xf>
    <xf numFmtId="0" fontId="16" fillId="4" borderId="0" xfId="0" applyFont="1" applyFill="1" applyBorder="1" applyAlignment="1" applyProtection="1">
      <alignment horizontal="left" vertical="center" wrapText="1"/>
    </xf>
    <xf numFmtId="0" fontId="16" fillId="4" borderId="6" xfId="0" applyFont="1" applyFill="1" applyBorder="1" applyAlignment="1" applyProtection="1">
      <alignment horizontal="left" vertical="center" wrapText="1"/>
    </xf>
    <xf numFmtId="0" fontId="26" fillId="3" borderId="4" xfId="0" applyFont="1" applyFill="1" applyBorder="1" applyAlignment="1" applyProtection="1">
      <alignment horizontal="left" vertical="center"/>
    </xf>
    <xf numFmtId="0" fontId="26" fillId="3" borderId="1"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7" fillId="0" borderId="5"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6" xfId="0" applyFont="1" applyFill="1" applyBorder="1" applyAlignment="1" applyProtection="1">
      <alignment horizontal="left" vertical="center" wrapText="1"/>
    </xf>
    <xf numFmtId="0" fontId="7" fillId="0" borderId="7" xfId="0" applyFont="1" applyFill="1" applyBorder="1" applyAlignment="1" applyProtection="1">
      <alignment horizontal="left" vertical="center" wrapText="1"/>
    </xf>
    <xf numFmtId="0" fontId="7" fillId="0" borderId="2" xfId="0" applyFont="1" applyFill="1" applyBorder="1" applyAlignment="1" applyProtection="1">
      <alignment horizontal="left" vertical="center" wrapText="1"/>
    </xf>
    <xf numFmtId="0" fontId="7" fillId="0" borderId="8" xfId="0" applyFont="1" applyFill="1" applyBorder="1" applyAlignment="1" applyProtection="1">
      <alignment horizontal="left" vertical="center" wrapText="1"/>
    </xf>
    <xf numFmtId="0" fontId="16" fillId="4" borderId="7" xfId="0" applyFont="1" applyFill="1" applyBorder="1" applyAlignment="1" applyProtection="1">
      <alignment horizontal="left" vertical="center"/>
    </xf>
    <xf numFmtId="0" fontId="16" fillId="4" borderId="2" xfId="0" applyFont="1" applyFill="1" applyBorder="1" applyAlignment="1" applyProtection="1">
      <alignment horizontal="left" vertical="center"/>
    </xf>
    <xf numFmtId="0" fontId="16" fillId="4" borderId="8" xfId="0" applyFont="1" applyFill="1" applyBorder="1" applyAlignment="1" applyProtection="1">
      <alignment horizontal="left" vertical="center"/>
    </xf>
    <xf numFmtId="0" fontId="15" fillId="0" borderId="5"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6" xfId="0" applyFont="1" applyFill="1" applyBorder="1" applyAlignment="1" applyProtection="1">
      <alignment horizontal="center" vertical="center"/>
    </xf>
    <xf numFmtId="0" fontId="28" fillId="3" borderId="4" xfId="0" applyFont="1" applyFill="1" applyBorder="1" applyAlignment="1" applyProtection="1">
      <alignment horizontal="center" vertical="center"/>
    </xf>
    <xf numFmtId="0" fontId="28" fillId="3" borderId="1" xfId="0" applyFont="1" applyFill="1" applyBorder="1" applyAlignment="1" applyProtection="1">
      <alignment horizontal="center" vertical="center"/>
    </xf>
    <xf numFmtId="0" fontId="28" fillId="3" borderId="3" xfId="0" applyFont="1" applyFill="1" applyBorder="1" applyAlignment="1" applyProtection="1">
      <alignment horizontal="center" vertical="center"/>
    </xf>
    <xf numFmtId="6" fontId="0" fillId="0" borderId="0" xfId="0" applyNumberFormat="1" applyBorder="1" applyAlignment="1" applyProtection="1">
      <alignment horizontal="center"/>
    </xf>
    <xf numFmtId="0" fontId="7" fillId="2" borderId="0" xfId="0" applyFont="1" applyFill="1" applyBorder="1" applyAlignment="1" applyProtection="1">
      <alignment horizontal="center" wrapText="1"/>
    </xf>
    <xf numFmtId="0" fontId="26" fillId="3" borderId="4" xfId="0" applyFont="1" applyFill="1" applyBorder="1" applyAlignment="1" applyProtection="1">
      <alignment horizontal="left" vertical="center" wrapText="1"/>
    </xf>
    <xf numFmtId="0" fontId="26" fillId="3" borderId="1" xfId="0" applyFont="1" applyFill="1" applyBorder="1" applyAlignment="1" applyProtection="1">
      <alignment horizontal="left" vertical="center" wrapText="1"/>
    </xf>
    <xf numFmtId="0" fontId="26" fillId="3" borderId="3" xfId="0" applyFont="1" applyFill="1" applyBorder="1" applyAlignment="1" applyProtection="1">
      <alignment horizontal="left" vertical="center" wrapText="1"/>
    </xf>
    <xf numFmtId="0" fontId="27" fillId="3" borderId="4" xfId="0" applyFont="1" applyFill="1" applyBorder="1" applyAlignment="1" applyProtection="1">
      <alignment horizontal="center" vertical="center"/>
    </xf>
    <xf numFmtId="0" fontId="27" fillId="3" borderId="1" xfId="0" applyFont="1" applyFill="1" applyBorder="1" applyAlignment="1" applyProtection="1">
      <alignment horizontal="center" vertical="center"/>
    </xf>
    <xf numFmtId="0" fontId="27" fillId="3" borderId="3" xfId="0" applyFont="1" applyFill="1" applyBorder="1" applyAlignment="1" applyProtection="1">
      <alignment horizontal="center" vertical="center"/>
    </xf>
  </cellXfs>
  <cellStyles count="3">
    <cellStyle name="Hyperlink" xfId="1" builtinId="8"/>
    <cellStyle name="Normal" xfId="0" builtinId="0"/>
    <cellStyle name="Normal_Farrow-Wean 500"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ww.gov.mb.ca/agriculture/farm-management/farm-business-management-contacts.htm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38100</xdr:colOff>
      <xdr:row>0</xdr:row>
      <xdr:rowOff>198120</xdr:rowOff>
    </xdr:from>
    <xdr:to>
      <xdr:col>8</xdr:col>
      <xdr:colOff>693420</xdr:colOff>
      <xdr:row>1</xdr:row>
      <xdr:rowOff>137160</xdr:rowOff>
    </xdr:to>
    <xdr:pic>
      <xdr:nvPicPr>
        <xdr:cNvPr id="1609" name="Picture 4" descr="GovMB_Logo_black-1374 10percent.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2940" y="198120"/>
          <a:ext cx="1455420"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502920</xdr:colOff>
      <xdr:row>80</xdr:row>
      <xdr:rowOff>53340</xdr:rowOff>
    </xdr:from>
    <xdr:to>
      <xdr:col>7</xdr:col>
      <xdr:colOff>281940</xdr:colOff>
      <xdr:row>84</xdr:row>
      <xdr:rowOff>60960</xdr:rowOff>
    </xdr:to>
    <xdr:pic>
      <xdr:nvPicPr>
        <xdr:cNvPr id="1610" name="Picture 5">
          <a:hlinkClick xmlns:r="http://schemas.openxmlformats.org/officeDocument/2006/relationships" r:id="rId2" tooltip="Click here for a list of Farm Management contacts."/>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700" y="15430500"/>
          <a:ext cx="368808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Q83"/>
  <sheetViews>
    <sheetView showGridLines="0" tabSelected="1" zoomScaleNormal="100" workbookViewId="0">
      <selection activeCell="E6" sqref="E6"/>
    </sheetView>
  </sheetViews>
  <sheetFormatPr defaultColWidth="10.33203125" defaultRowHeight="17.399999999999999" x14ac:dyDescent="0.3"/>
  <cols>
    <col min="1" max="2" width="7.6640625" style="2" customWidth="1"/>
    <col min="3" max="4" width="11.6640625" style="2" customWidth="1"/>
    <col min="5" max="5" width="10.6640625" style="2" customWidth="1"/>
    <col min="6" max="7" width="7.6640625" style="2" customWidth="1"/>
    <col min="8" max="9" width="11.6640625" style="2" customWidth="1"/>
    <col min="10" max="10" width="10.33203125" style="13"/>
    <col min="11" max="11" width="10.33203125" style="13" customWidth="1"/>
    <col min="12" max="12" width="10.33203125" style="13"/>
    <col min="13" max="16384" width="10.33203125" style="1"/>
  </cols>
  <sheetData>
    <row r="1" spans="1:16" s="6" customFormat="1" ht="27" customHeight="1" x14ac:dyDescent="0.25">
      <c r="A1" s="4"/>
      <c r="B1" s="4"/>
      <c r="C1" s="5"/>
      <c r="D1" s="5"/>
      <c r="E1" s="5"/>
      <c r="F1" s="5"/>
    </row>
    <row r="2" spans="1:16" s="6" customFormat="1" ht="27.6" x14ac:dyDescent="0.45">
      <c r="A2" s="7" t="s">
        <v>9</v>
      </c>
      <c r="B2" s="4"/>
      <c r="C2" s="5"/>
      <c r="D2" s="5"/>
      <c r="E2" s="5"/>
      <c r="F2" s="5"/>
    </row>
    <row r="3" spans="1:16" s="6" customFormat="1" ht="18" customHeight="1" x14ac:dyDescent="0.3">
      <c r="A3" s="114" t="s">
        <v>28</v>
      </c>
      <c r="B3" s="114"/>
      <c r="C3" s="114"/>
      <c r="D3" s="114"/>
      <c r="E3" s="114"/>
      <c r="F3" s="114"/>
      <c r="G3" s="114"/>
      <c r="H3" s="114"/>
      <c r="I3" s="114"/>
    </row>
    <row r="4" spans="1:16" x14ac:dyDescent="0.3">
      <c r="A4" s="23" t="s">
        <v>10</v>
      </c>
      <c r="H4" s="8" t="s">
        <v>0</v>
      </c>
      <c r="I4" s="12">
        <f ca="1">TODAY()</f>
        <v>44862</v>
      </c>
    </row>
    <row r="5" spans="1:16" ht="6" customHeight="1" x14ac:dyDescent="0.3">
      <c r="A5" s="24"/>
      <c r="B5" s="11"/>
      <c r="C5" s="11"/>
      <c r="D5" s="11"/>
      <c r="E5" s="11"/>
      <c r="F5" s="11"/>
      <c r="G5" s="11"/>
      <c r="H5" s="11"/>
      <c r="I5" s="20"/>
    </row>
    <row r="6" spans="1:16" s="9" customFormat="1" ht="13.2" x14ac:dyDescent="0.25">
      <c r="A6" s="25" t="s">
        <v>8</v>
      </c>
      <c r="B6" s="26"/>
      <c r="C6" s="27"/>
      <c r="D6" s="28"/>
      <c r="E6" s="21">
        <v>1965</v>
      </c>
      <c r="F6" s="29"/>
      <c r="G6" s="27"/>
      <c r="H6" s="27"/>
      <c r="I6" s="30"/>
      <c r="J6" s="31"/>
      <c r="K6" s="31"/>
      <c r="L6" s="32"/>
      <c r="M6" s="16"/>
      <c r="N6" s="16"/>
      <c r="O6" s="16"/>
      <c r="P6" s="17"/>
    </row>
    <row r="7" spans="1:16" s="9" customFormat="1" ht="13.2" x14ac:dyDescent="0.25">
      <c r="A7" s="25" t="s">
        <v>5</v>
      </c>
      <c r="B7" s="26"/>
      <c r="C7" s="27"/>
      <c r="D7" s="28"/>
      <c r="E7" s="21">
        <v>65</v>
      </c>
      <c r="F7" s="29"/>
      <c r="G7" s="27"/>
      <c r="H7" s="27"/>
      <c r="I7" s="30"/>
      <c r="J7" s="31"/>
      <c r="K7" s="31"/>
      <c r="L7" s="32"/>
      <c r="M7" s="16"/>
      <c r="N7" s="16"/>
      <c r="O7" s="16"/>
      <c r="P7" s="17"/>
    </row>
    <row r="8" spans="1:16" s="9" customFormat="1" ht="6" customHeight="1" x14ac:dyDescent="0.25">
      <c r="A8" s="36"/>
      <c r="B8" s="26"/>
      <c r="C8" s="27"/>
      <c r="D8" s="33"/>
      <c r="E8" s="27"/>
      <c r="F8" s="29"/>
      <c r="G8" s="27"/>
      <c r="H8" s="27"/>
      <c r="I8" s="30"/>
      <c r="J8" s="31"/>
      <c r="K8" s="31"/>
      <c r="L8" s="32"/>
      <c r="M8" s="16"/>
      <c r="N8" s="16"/>
      <c r="O8" s="16"/>
      <c r="P8" s="17"/>
    </row>
    <row r="9" spans="1:16" s="9" customFormat="1" ht="13.2" x14ac:dyDescent="0.25">
      <c r="A9" s="48" t="s">
        <v>19</v>
      </c>
      <c r="B9" s="77"/>
      <c r="C9" s="78"/>
      <c r="D9" s="78"/>
      <c r="E9" s="78"/>
      <c r="F9" s="64"/>
      <c r="G9" s="27"/>
      <c r="H9" s="27"/>
      <c r="I9" s="30"/>
      <c r="J9" s="31"/>
      <c r="K9" s="31"/>
      <c r="L9" s="32"/>
      <c r="M9" s="16"/>
      <c r="N9" s="16"/>
      <c r="O9" s="16"/>
      <c r="P9" s="17"/>
    </row>
    <row r="10" spans="1:16" s="9" customFormat="1" ht="13.2" x14ac:dyDescent="0.25">
      <c r="A10" s="37"/>
      <c r="B10" s="38" t="s">
        <v>1</v>
      </c>
      <c r="C10" s="75">
        <v>10</v>
      </c>
      <c r="D10" s="39" t="s">
        <v>6</v>
      </c>
      <c r="E10" s="76">
        <v>50000</v>
      </c>
      <c r="F10" s="40" t="s">
        <v>11</v>
      </c>
      <c r="G10" s="28" t="str">
        <f>"  (Age "&amp;E7&amp;" to "&amp;E7+C10&amp;" years)"</f>
        <v xml:space="preserve">  (Age 65 to 75 years)</v>
      </c>
      <c r="H10" s="28"/>
      <c r="I10" s="30"/>
      <c r="J10" s="31"/>
      <c r="K10" s="31"/>
      <c r="L10" s="32"/>
      <c r="M10" s="16"/>
      <c r="N10" s="16"/>
      <c r="O10" s="16"/>
      <c r="P10" s="17"/>
    </row>
    <row r="11" spans="1:16" s="9" customFormat="1" ht="13.2" x14ac:dyDescent="0.25">
      <c r="A11" s="37"/>
      <c r="B11" s="41" t="s">
        <v>2</v>
      </c>
      <c r="C11" s="75">
        <v>10</v>
      </c>
      <c r="D11" s="39" t="s">
        <v>6</v>
      </c>
      <c r="E11" s="76">
        <v>40000</v>
      </c>
      <c r="F11" s="40" t="s">
        <v>11</v>
      </c>
      <c r="G11" s="28" t="str">
        <f>"  (Age "&amp;E7+C10&amp;" to "&amp;E7+C10+C11&amp;" years)"</f>
        <v xml:space="preserve">  (Age 75 to 85 years)</v>
      </c>
      <c r="H11" s="28"/>
      <c r="I11" s="30"/>
      <c r="J11" s="31"/>
      <c r="K11" s="31"/>
      <c r="L11" s="32"/>
      <c r="M11" s="16"/>
      <c r="N11" s="16"/>
      <c r="O11" s="16"/>
      <c r="P11" s="17"/>
    </row>
    <row r="12" spans="1:16" s="9" customFormat="1" ht="13.2" x14ac:dyDescent="0.25">
      <c r="A12" s="37"/>
      <c r="B12" s="28" t="str">
        <f>"("&amp;C10+C11&amp;" Retirement Years)"</f>
        <v>(20 Retirement Years)</v>
      </c>
      <c r="C12" s="42"/>
      <c r="D12" s="81" t="str">
        <f>IF(C10+C11&gt;40,"ERROR - Maximum 40 years","")</f>
        <v/>
      </c>
      <c r="E12" s="45"/>
      <c r="F12" s="40"/>
      <c r="G12" s="86"/>
      <c r="H12" s="86"/>
      <c r="I12" s="30"/>
      <c r="J12" s="31"/>
      <c r="K12" s="31"/>
      <c r="L12" s="32"/>
      <c r="M12" s="16"/>
      <c r="N12" s="16"/>
      <c r="O12" s="16"/>
      <c r="P12" s="17"/>
    </row>
    <row r="13" spans="1:16" s="9" customFormat="1" ht="13.2" x14ac:dyDescent="0.25">
      <c r="A13" s="49" t="s">
        <v>27</v>
      </c>
      <c r="B13" s="28"/>
      <c r="C13" s="42"/>
      <c r="D13" s="81"/>
      <c r="E13" s="45"/>
      <c r="F13" s="22">
        <v>2.4E-2</v>
      </c>
      <c r="G13" s="86"/>
      <c r="H13" s="86"/>
      <c r="I13" s="30"/>
      <c r="J13" s="31"/>
      <c r="K13" s="31"/>
      <c r="L13" s="32"/>
      <c r="M13" s="16"/>
      <c r="N13" s="16"/>
      <c r="O13" s="16"/>
      <c r="P13" s="17"/>
    </row>
    <row r="14" spans="1:16" s="9" customFormat="1" ht="6" customHeight="1" x14ac:dyDescent="0.25">
      <c r="A14" s="37"/>
      <c r="B14" s="28"/>
      <c r="C14" s="42"/>
      <c r="D14" s="81"/>
      <c r="E14" s="45"/>
      <c r="F14" s="40"/>
      <c r="G14" s="28"/>
      <c r="H14" s="28"/>
      <c r="I14" s="30"/>
      <c r="J14" s="31"/>
      <c r="K14" s="31"/>
      <c r="L14" s="32"/>
      <c r="M14" s="16"/>
      <c r="N14" s="16"/>
      <c r="O14" s="16"/>
      <c r="P14" s="17"/>
    </row>
    <row r="15" spans="1:16" s="9" customFormat="1" ht="13.2" x14ac:dyDescent="0.25">
      <c r="A15" s="25" t="s">
        <v>16</v>
      </c>
      <c r="B15" s="42"/>
      <c r="C15" s="43"/>
      <c r="D15" s="44"/>
      <c r="E15" s="76">
        <v>7500</v>
      </c>
      <c r="F15" s="40" t="s">
        <v>11</v>
      </c>
      <c r="G15" s="22">
        <v>2.7E-2</v>
      </c>
      <c r="H15" s="86" t="s">
        <v>18</v>
      </c>
      <c r="I15" s="30"/>
      <c r="J15" s="31"/>
      <c r="K15" s="31"/>
      <c r="L15" s="32"/>
      <c r="M15" s="16"/>
      <c r="N15" s="16"/>
      <c r="O15" s="16"/>
      <c r="P15" s="17"/>
    </row>
    <row r="16" spans="1:16" s="9" customFormat="1" ht="13.2" x14ac:dyDescent="0.25">
      <c r="A16" s="25" t="s">
        <v>17</v>
      </c>
      <c r="B16" s="42"/>
      <c r="C16" s="43"/>
      <c r="D16" s="44"/>
      <c r="E16" s="76">
        <v>0</v>
      </c>
      <c r="F16" s="40" t="s">
        <v>11</v>
      </c>
      <c r="G16" s="22">
        <v>0.02</v>
      </c>
      <c r="H16" s="86" t="s">
        <v>18</v>
      </c>
      <c r="I16" s="30"/>
      <c r="J16" s="31"/>
      <c r="K16" s="31"/>
      <c r="L16" s="32"/>
      <c r="M16" s="16"/>
      <c r="N16" s="16"/>
      <c r="O16" s="16"/>
      <c r="P16" s="17"/>
    </row>
    <row r="17" spans="1:16" s="9" customFormat="1" ht="13.2" x14ac:dyDescent="0.25">
      <c r="A17" s="37"/>
      <c r="B17" s="42"/>
      <c r="C17" s="46"/>
      <c r="D17" s="44"/>
      <c r="E17" s="45"/>
      <c r="F17" s="40"/>
      <c r="G17" s="28"/>
      <c r="H17" s="28"/>
      <c r="I17" s="30"/>
      <c r="J17" s="31"/>
      <c r="K17" s="31"/>
      <c r="L17" s="32"/>
      <c r="M17" s="16"/>
      <c r="N17" s="16"/>
      <c r="O17" s="16"/>
      <c r="P17" s="17"/>
    </row>
    <row r="18" spans="1:16" s="9" customFormat="1" ht="13.2" x14ac:dyDescent="0.25">
      <c r="A18" s="25" t="s">
        <v>21</v>
      </c>
      <c r="B18" s="26"/>
      <c r="C18" s="27"/>
      <c r="D18" s="28"/>
      <c r="E18" s="79">
        <v>400000</v>
      </c>
      <c r="F18" s="25" t="s">
        <v>34</v>
      </c>
      <c r="G18" s="28"/>
      <c r="H18" s="28"/>
      <c r="I18" s="30"/>
      <c r="J18" s="31"/>
      <c r="K18" s="31"/>
      <c r="L18" s="32"/>
      <c r="M18" s="16"/>
      <c r="N18" s="16"/>
      <c r="O18" s="16"/>
      <c r="P18" s="17"/>
    </row>
    <row r="19" spans="1:16" s="9" customFormat="1" ht="13.2" x14ac:dyDescent="0.25">
      <c r="A19" s="48" t="s">
        <v>12</v>
      </c>
      <c r="B19" s="26"/>
      <c r="C19" s="27"/>
      <c r="D19" s="28"/>
      <c r="E19" s="22">
        <v>6.5000000000000002E-2</v>
      </c>
      <c r="F19" s="29"/>
      <c r="G19" s="28"/>
      <c r="H19" s="28"/>
      <c r="I19" s="30"/>
      <c r="J19" s="31"/>
      <c r="K19" s="31"/>
      <c r="L19" s="32"/>
      <c r="M19" s="16"/>
      <c r="N19" s="16"/>
      <c r="O19" s="16"/>
      <c r="P19" s="17"/>
    </row>
    <row r="20" spans="1:16" s="9" customFormat="1" ht="13.2" x14ac:dyDescent="0.25">
      <c r="A20" s="48" t="s">
        <v>7</v>
      </c>
      <c r="B20" s="26"/>
      <c r="C20" s="27"/>
      <c r="D20" s="28"/>
      <c r="E20" s="22">
        <v>4.4999999999999998E-2</v>
      </c>
      <c r="F20" s="29"/>
      <c r="G20" s="27"/>
      <c r="H20" s="27"/>
      <c r="I20" s="30"/>
      <c r="J20" s="31"/>
      <c r="K20" s="31"/>
      <c r="L20" s="32"/>
      <c r="M20" s="16"/>
      <c r="N20" s="16"/>
      <c r="O20" s="16"/>
      <c r="P20" s="17"/>
    </row>
    <row r="21" spans="1:16" s="9" customFormat="1" ht="6" customHeight="1" x14ac:dyDescent="0.25">
      <c r="A21" s="50"/>
      <c r="B21" s="51"/>
      <c r="C21" s="52"/>
      <c r="D21" s="51"/>
      <c r="E21" s="53"/>
      <c r="F21" s="54"/>
      <c r="G21" s="52"/>
      <c r="H21" s="52"/>
      <c r="I21" s="55"/>
      <c r="J21" s="31"/>
      <c r="K21" s="31"/>
      <c r="L21" s="32"/>
      <c r="M21" s="16"/>
      <c r="N21" s="16"/>
      <c r="O21" s="16"/>
      <c r="P21" s="17"/>
    </row>
    <row r="22" spans="1:16" s="9" customFormat="1" ht="15.75" customHeight="1" x14ac:dyDescent="0.25">
      <c r="A22" s="56"/>
      <c r="B22" s="57"/>
      <c r="C22" s="56"/>
      <c r="D22" s="58"/>
      <c r="E22" s="57"/>
      <c r="F22" s="59"/>
      <c r="G22" s="56"/>
      <c r="H22" s="31"/>
      <c r="I22" s="60"/>
      <c r="J22" s="31"/>
      <c r="K22" s="31"/>
      <c r="L22" s="32"/>
      <c r="M22" s="16"/>
      <c r="N22" s="16"/>
      <c r="O22" s="16"/>
      <c r="P22" s="17"/>
    </row>
    <row r="23" spans="1:16" s="9" customFormat="1" ht="20.25" customHeight="1" x14ac:dyDescent="0.25">
      <c r="A23" s="144" t="s">
        <v>32</v>
      </c>
      <c r="B23" s="145"/>
      <c r="C23" s="145"/>
      <c r="D23" s="145"/>
      <c r="E23" s="145"/>
      <c r="F23" s="145"/>
      <c r="G23" s="145"/>
      <c r="H23" s="145"/>
      <c r="I23" s="146"/>
      <c r="J23" s="31"/>
      <c r="K23" s="31"/>
      <c r="L23" s="32"/>
      <c r="M23" s="16"/>
      <c r="N23" s="16"/>
      <c r="O23" s="16"/>
      <c r="P23" s="17"/>
    </row>
    <row r="24" spans="1:16" s="9" customFormat="1" ht="21.9" customHeight="1" x14ac:dyDescent="0.25">
      <c r="A24" s="120" t="str">
        <f ca="1">"Savings Required at Retirement Age "&amp;B41&amp;" = $"&amp;IF(D41&lt;=0,0,TEXT(D41,"#,###"))</f>
        <v>Savings Required at Retirement Age 65 = $741,304</v>
      </c>
      <c r="B24" s="121"/>
      <c r="C24" s="121"/>
      <c r="D24" s="121"/>
      <c r="E24" s="121"/>
      <c r="F24" s="121"/>
      <c r="G24" s="121"/>
      <c r="H24" s="121"/>
      <c r="I24" s="122"/>
      <c r="J24" s="31"/>
      <c r="K24" s="31"/>
      <c r="L24" s="32"/>
      <c r="M24" s="16"/>
      <c r="N24" s="16"/>
      <c r="O24" s="16"/>
      <c r="P24" s="17"/>
    </row>
    <row r="25" spans="1:16" s="9" customFormat="1" ht="21.9" customHeight="1" x14ac:dyDescent="0.25">
      <c r="A25" s="126" t="str">
        <f ca="1">"Retirement Savings Value at Age "&amp;$B$41&amp;" = $"&amp;IF('Retirement Planner'!F65=0,0,TEXT('Retirement Planner'!F65,"#,###"))</f>
        <v>Retirement Savings Value at Age 65 = $628,681</v>
      </c>
      <c r="B25" s="127"/>
      <c r="C25" s="127"/>
      <c r="D25" s="127"/>
      <c r="E25" s="127"/>
      <c r="F25" s="127"/>
      <c r="G25" s="127"/>
      <c r="H25" s="127"/>
      <c r="I25" s="128"/>
      <c r="J25" s="31"/>
      <c r="K25" s="31"/>
      <c r="L25" s="32"/>
      <c r="M25" s="16"/>
      <c r="N25" s="16"/>
      <c r="O25" s="16"/>
      <c r="P25" s="17"/>
    </row>
    <row r="26" spans="1:16" s="9" customFormat="1" ht="21.9" customHeight="1" x14ac:dyDescent="0.25">
      <c r="A26" s="120" t="str">
        <f ca="1">"Savings Shortfall at Retirement Age "&amp;$B$41&amp;" = $"&amp;IF(D41-'Retirement Planner'!F65&lt;0,0,TEXT(D41-'Retirement Planner'!F65,"#,###"))</f>
        <v>Savings Shortfall at Retirement Age 65 = $112,624</v>
      </c>
      <c r="B26" s="121"/>
      <c r="C26" s="121"/>
      <c r="D26" s="121"/>
      <c r="E26" s="121"/>
      <c r="F26" s="121"/>
      <c r="G26" s="121"/>
      <c r="H26" s="121"/>
      <c r="I26" s="122"/>
      <c r="J26" s="31"/>
      <c r="K26" s="31"/>
      <c r="L26" s="32"/>
      <c r="M26" s="16"/>
      <c r="N26" s="16"/>
      <c r="O26" s="16"/>
      <c r="P26" s="17"/>
    </row>
    <row r="27" spans="1:16" ht="21.9" customHeight="1" x14ac:dyDescent="0.3">
      <c r="A27" s="138" t="str">
        <f ca="1">"Projected Cash Savings Balance at Age "&amp;$B$41+C10+C11&amp;" = $"&amp;IF('Retirement Planner'!F65-'Retirement Planner'!E65&lt;0,0,TEXT(-FV(E20,C10+C11,0,'Retirement Planner'!F65-'Retirement Planner'!E65),"#,###"))</f>
        <v>Projected Cash Savings Balance at Age 85 = $0</v>
      </c>
      <c r="B27" s="139"/>
      <c r="C27" s="139"/>
      <c r="D27" s="139"/>
      <c r="E27" s="139"/>
      <c r="F27" s="139"/>
      <c r="G27" s="139"/>
      <c r="H27" s="139"/>
      <c r="I27" s="140"/>
      <c r="K27" s="88"/>
    </row>
    <row r="28" spans="1:16" s="9" customFormat="1" ht="18" customHeight="1" x14ac:dyDescent="0.25">
      <c r="A28" s="129" t="s">
        <v>31</v>
      </c>
      <c r="B28" s="130"/>
      <c r="C28" s="130"/>
      <c r="D28" s="130"/>
      <c r="E28" s="130"/>
      <c r="F28" s="130"/>
      <c r="G28" s="130"/>
      <c r="H28" s="130"/>
      <c r="I28" s="131"/>
      <c r="J28" s="31"/>
      <c r="K28" s="89"/>
      <c r="L28" s="32"/>
      <c r="M28" s="16"/>
      <c r="N28" s="16"/>
      <c r="O28" s="16"/>
      <c r="P28" s="17"/>
    </row>
    <row r="29" spans="1:16" s="9" customFormat="1" ht="15" customHeight="1" x14ac:dyDescent="0.25">
      <c r="A29" s="123" t="str">
        <f ca="1">"#1: Additional Annual Savings Required for "&amp;'Retirement Planner'!D65&amp;" Years before retirement = $"&amp;IF('Retirement Planner'!H65&lt;=0,0,TEXT('Retirement Planner'!H65,"#,###"))&amp;" per year"</f>
        <v>#1: Additional Annual Savings Required for 7.18 Years before retirement = $12,805 per year</v>
      </c>
      <c r="B29" s="124"/>
      <c r="C29" s="124"/>
      <c r="D29" s="124"/>
      <c r="E29" s="124"/>
      <c r="F29" s="124"/>
      <c r="G29" s="124"/>
      <c r="H29" s="124"/>
      <c r="I29" s="125"/>
      <c r="J29" s="31"/>
      <c r="K29" s="85"/>
      <c r="L29" s="32"/>
      <c r="M29" s="16"/>
      <c r="N29" s="16"/>
      <c r="O29" s="16"/>
      <c r="P29" s="17"/>
    </row>
    <row r="30" spans="1:16" s="9" customFormat="1" ht="9.75" customHeight="1" x14ac:dyDescent="0.25">
      <c r="A30" s="141" t="s">
        <v>25</v>
      </c>
      <c r="B30" s="142"/>
      <c r="C30" s="142"/>
      <c r="D30" s="142"/>
      <c r="E30" s="142"/>
      <c r="F30" s="142"/>
      <c r="G30" s="142"/>
      <c r="H30" s="142"/>
      <c r="I30" s="143"/>
      <c r="J30" s="31"/>
      <c r="K30" s="85"/>
      <c r="L30" s="32"/>
      <c r="M30" s="16"/>
      <c r="N30" s="16"/>
      <c r="O30" s="16"/>
      <c r="P30" s="17"/>
    </row>
    <row r="31" spans="1:16" s="9" customFormat="1" ht="15" customHeight="1" x14ac:dyDescent="0.25">
      <c r="A31" s="91" t="str">
        <f>"#2: Estimated Annual Payment Required from Farm Assets (eg. land rental or shareholder"</f>
        <v>#2: Estimated Annual Payment Required from Farm Assets (eg. land rental or shareholder</v>
      </c>
      <c r="B31" s="90"/>
      <c r="C31" s="90"/>
      <c r="D31" s="90"/>
      <c r="E31" s="90"/>
      <c r="F31" s="90"/>
      <c r="G31" s="90"/>
      <c r="H31" s="90"/>
      <c r="I31" s="92"/>
      <c r="J31" s="31"/>
      <c r="K31" s="85"/>
      <c r="L31" s="32"/>
      <c r="M31" s="16"/>
      <c r="N31" s="16"/>
      <c r="O31" s="16"/>
      <c r="P31" s="17"/>
    </row>
    <row r="32" spans="1:16" s="9" customFormat="1" ht="15" customHeight="1" x14ac:dyDescent="0.25">
      <c r="A32" s="91" t="str">
        <f ca="1">"        loans) for "&amp;C10+C11&amp;" Planned Retirement Years = $"&amp;IF(D41-'Retirement Planner'!F65&lt;0,0,TEXT(-PMT($E$20,$C$10+$C$11,$D$41-'Retirement Planner'!$F$65,0),"#,###"))&amp;" per year"</f>
        <v xml:space="preserve">        loans) for 20 Planned Retirement Years = $8,658 per year</v>
      </c>
      <c r="B32" s="90"/>
      <c r="C32" s="90"/>
      <c r="D32" s="90"/>
      <c r="E32" s="90"/>
      <c r="F32" s="90"/>
      <c r="G32" s="90"/>
      <c r="H32" s="90"/>
      <c r="I32" s="92"/>
      <c r="J32" s="31"/>
      <c r="K32" s="85"/>
      <c r="L32" s="32"/>
      <c r="M32" s="16"/>
      <c r="N32" s="16"/>
      <c r="O32" s="16"/>
      <c r="P32" s="17"/>
    </row>
    <row r="33" spans="1:17" s="9" customFormat="1" ht="7.5" customHeight="1" x14ac:dyDescent="0.25">
      <c r="A33" s="93"/>
      <c r="B33" s="94"/>
      <c r="C33" s="94"/>
      <c r="D33" s="94"/>
      <c r="E33" s="94"/>
      <c r="F33" s="94"/>
      <c r="G33" s="94"/>
      <c r="H33" s="94"/>
      <c r="I33" s="95"/>
      <c r="J33" s="31"/>
      <c r="K33" s="85"/>
      <c r="L33" s="32"/>
      <c r="M33" s="16"/>
      <c r="N33" s="16"/>
      <c r="O33" s="16"/>
      <c r="P33" s="17"/>
    </row>
    <row r="34" spans="1:17" s="9" customFormat="1" ht="18" customHeight="1" x14ac:dyDescent="0.25">
      <c r="A34" s="149" t="s">
        <v>33</v>
      </c>
      <c r="B34" s="150"/>
      <c r="C34" s="150"/>
      <c r="D34" s="150"/>
      <c r="E34" s="150"/>
      <c r="F34" s="150"/>
      <c r="G34" s="150"/>
      <c r="H34" s="150"/>
      <c r="I34" s="151"/>
      <c r="J34" s="31"/>
      <c r="K34" s="31"/>
      <c r="L34" s="32"/>
      <c r="M34" s="31"/>
      <c r="N34" s="16"/>
      <c r="O34" s="16"/>
      <c r="P34" s="17"/>
    </row>
    <row r="35" spans="1:17" s="9" customFormat="1" ht="18" customHeight="1" x14ac:dyDescent="0.25">
      <c r="A35" s="132" t="str">
        <f ca="1">"Delay 1 year to Age "&amp;C66&amp;" = $"&amp;IF(H66&lt;=0,0,(TEXT(H66,"#,###")))&amp;" per year for "&amp;TEXT(D66,"0.00")&amp;" years"</f>
        <v>Delay 1 year to Age 66 = $5,079 per year for 8.18 years</v>
      </c>
      <c r="B35" s="133"/>
      <c r="C35" s="133"/>
      <c r="D35" s="133"/>
      <c r="E35" s="133"/>
      <c r="F35" s="133"/>
      <c r="G35" s="133"/>
      <c r="H35" s="133"/>
      <c r="I35" s="134"/>
      <c r="J35" s="31"/>
      <c r="K35" s="31"/>
      <c r="L35" s="32"/>
      <c r="M35" s="31"/>
      <c r="N35" s="16"/>
      <c r="O35" s="16"/>
      <c r="P35" s="17"/>
    </row>
    <row r="36" spans="1:17" s="9" customFormat="1" ht="18" customHeight="1" x14ac:dyDescent="0.25">
      <c r="A36" s="132" t="str">
        <f ca="1">"Delay 2 years to Age "&amp;C67&amp;" = $"&amp;IF(H67&lt;=0,0,(TEXT(H67,"#,###")))&amp;" per year for "&amp;TEXT(D67,"0.00")&amp;" years"</f>
        <v>Delay 2 years to Age 67 = $0 per year for 9.18 years</v>
      </c>
      <c r="B36" s="133"/>
      <c r="C36" s="133"/>
      <c r="D36" s="133"/>
      <c r="E36" s="133"/>
      <c r="F36" s="133"/>
      <c r="G36" s="133"/>
      <c r="H36" s="133"/>
      <c r="I36" s="134"/>
      <c r="J36" s="31"/>
      <c r="K36" s="31"/>
      <c r="L36" s="32"/>
      <c r="M36" s="31"/>
      <c r="N36" s="16"/>
      <c r="O36" s="16"/>
      <c r="P36" s="17"/>
    </row>
    <row r="37" spans="1:17" s="9" customFormat="1" ht="18" customHeight="1" x14ac:dyDescent="0.25">
      <c r="A37" s="135" t="str">
        <f ca="1">"Delay 5 years to Age "&amp;C70&amp;" = $"&amp;IF(H70&lt;=0,0,(TEXT(H70,"#,###")))&amp;" per year for "&amp;TEXT(D70,"0.00")&amp;" years"</f>
        <v>Delay 5 years to Age 70 = $0 per year for 12.19 years</v>
      </c>
      <c r="B37" s="136"/>
      <c r="C37" s="136"/>
      <c r="D37" s="136"/>
      <c r="E37" s="136"/>
      <c r="F37" s="136"/>
      <c r="G37" s="136"/>
      <c r="H37" s="136"/>
      <c r="I37" s="137"/>
      <c r="J37" s="31"/>
      <c r="K37" s="31"/>
      <c r="L37" s="32"/>
      <c r="M37" s="31"/>
      <c r="N37" s="16"/>
      <c r="O37" s="16"/>
      <c r="P37" s="17"/>
    </row>
    <row r="38" spans="1:17" s="9" customFormat="1" ht="15.75" customHeight="1" x14ac:dyDescent="0.3">
      <c r="A38" s="61"/>
      <c r="B38" s="61"/>
      <c r="C38" s="61"/>
      <c r="D38" s="61"/>
      <c r="E38" s="61"/>
      <c r="F38" s="61"/>
      <c r="G38" s="61"/>
      <c r="H38" s="61"/>
      <c r="I38" s="61"/>
      <c r="J38" s="31"/>
      <c r="K38" s="31"/>
      <c r="L38" s="32"/>
      <c r="M38" s="16"/>
      <c r="N38" s="16"/>
      <c r="O38" s="16"/>
      <c r="P38" s="17"/>
    </row>
    <row r="39" spans="1:17" s="9" customFormat="1" ht="14.25" customHeight="1" x14ac:dyDescent="0.25">
      <c r="A39" s="117" t="s">
        <v>29</v>
      </c>
      <c r="B39" s="118"/>
      <c r="C39" s="118"/>
      <c r="D39" s="118"/>
      <c r="E39" s="118"/>
      <c r="F39" s="118"/>
      <c r="G39" s="118"/>
      <c r="H39" s="118"/>
      <c r="I39" s="119"/>
      <c r="J39" s="31"/>
      <c r="K39" s="31"/>
      <c r="L39" s="32"/>
      <c r="M39" s="16"/>
      <c r="N39" s="16"/>
      <c r="O39" s="16"/>
      <c r="P39" s="17"/>
    </row>
    <row r="40" spans="1:17" s="9" customFormat="1" ht="52.8" x14ac:dyDescent="0.25">
      <c r="A40" s="62" t="s">
        <v>3</v>
      </c>
      <c r="B40" s="43" t="s">
        <v>4</v>
      </c>
      <c r="C40" s="96" t="s">
        <v>22</v>
      </c>
      <c r="D40" s="63" t="s">
        <v>26</v>
      </c>
      <c r="E40" s="64"/>
      <c r="F40" s="43" t="s">
        <v>3</v>
      </c>
      <c r="G40" s="43" t="s">
        <v>4</v>
      </c>
      <c r="H40" s="96" t="s">
        <v>23</v>
      </c>
      <c r="I40" s="65" t="s">
        <v>26</v>
      </c>
      <c r="J40" s="31"/>
      <c r="K40" s="32"/>
      <c r="L40" s="31"/>
      <c r="O40" s="82"/>
    </row>
    <row r="41" spans="1:17" s="9" customFormat="1" ht="13.2" x14ac:dyDescent="0.25">
      <c r="A41" s="66">
        <f>SUM(E6+E7)</f>
        <v>2030</v>
      </c>
      <c r="B41" s="67">
        <f>E7</f>
        <v>65</v>
      </c>
      <c r="C41" s="68">
        <f ca="1">IF(A41="","",IF(FV($F$13,SUM((TODAY()-DATE(A41,1,1))/365)*-1,0,-$E$10)-(FV($G$15,SUM((TODAY()-DATE(A41,1,1))/365)*-1,0,-$E$15))-(FV($G$16,SUM((TODAY()-DATE(A41,1,1))/365)*-1,0,-$E$16))&lt;0,0,FV($F$13,SUM((TODAY()-DATE(A41,1,1))/365)*-1,0,-$E$10)-(FV($G$15,SUM((TODAY()-DATE(A41,1,1))/365)*-1,0,-$E$15))-(FV($G$16,SUM((TODAY()-DATE(A41,1,1))/365)*-1,0,-$E$16))))</f>
        <v>50205.190979674822</v>
      </c>
      <c r="D41" s="68">
        <f ca="1">IF(A41="","",-PV($E$20,1,C41,IF(D42="",0,D42),1))</f>
        <v>741304.45928172139</v>
      </c>
      <c r="E41" s="35"/>
      <c r="F41" s="67" t="str">
        <f>IF(A60="","",IF($A$41+$C$10+$C$11&gt;A60+1,A60+1,""))</f>
        <v/>
      </c>
      <c r="G41" s="67" t="str">
        <f>IF(F41="","",B60+1)</f>
        <v/>
      </c>
      <c r="H41" s="68" t="str">
        <f ca="1">IF(F41="","",IF($A$41+$C$10&gt;A60+1,IF((FV($F$13,SUM((TODAY()-DATE(F41,1,1))/365)*-1,0,-$E$10))-(FV($G$15,SUM((TODAY()-DATE(F41,1,1))/365)*-1,0,-$E$15))-(FV($G$16,SUM((TODAY()-DATE(F41,1,1))/365)*-1,0,-$E$16))&lt;0,0,(FV($F$13,SUM((TODAY()-DATE(F41,1,1))/365)*-1,0,-$E$10))-(FV($G$15,SUM((TODAY()-DATE(F41,1,1))/365)*-1,0,-$E$15))-(FV($G$16,SUM((TODAY()-DATE(F41,1,1))/365)*-1,0,-$E$16))),IF((FV($F$13,SUM((TODAY()-DATE(F41,1,1))/365)*-1,0,-$E$11))-(FV($G$15,SUM((TODAY()-DATE(F41,1,1))/365)*-1,0,-$E$15))-(FV($G$16,SUM((TODAY()-DATE(F41,1,1))/365)*-1,0,-$E$16))&lt;0,0,(FV($F$13,SUM((TODAY()-DATE(F41,1,1))/365)*-1,0,-$E$11))-(FV($G$15,SUM((TODAY()-DATE(F41,1,1))/365)*-1,0,-$E$15))-(FV($G$16,SUM((TODAY()-DATE(F41,1,1))/365)*-1,0,-$E$16)))))</f>
        <v/>
      </c>
      <c r="I41" s="69" t="str">
        <f t="shared" ref="I41:I59" si="0">IF(F41="","",-PV($E$20,1,H41,IF(I42="",0,I42),1))</f>
        <v/>
      </c>
      <c r="J41" s="31"/>
      <c r="K41" s="32"/>
      <c r="L41" s="31"/>
      <c r="M41" s="16"/>
      <c r="N41" s="84"/>
      <c r="O41" s="84"/>
      <c r="P41" s="83"/>
      <c r="Q41" s="67"/>
    </row>
    <row r="42" spans="1:17" s="9" customFormat="1" ht="13.2" x14ac:dyDescent="0.25">
      <c r="A42" s="66">
        <f t="shared" ref="A42:A60" si="1">IF(A41="","",IF($A$41+$C$10+$C$11&gt;A41+1,A41+1,""))</f>
        <v>2031</v>
      </c>
      <c r="B42" s="67">
        <f t="shared" ref="B42:B60" si="2">IF(A42="","",B41+1)</f>
        <v>66</v>
      </c>
      <c r="C42" s="68">
        <f t="shared" ref="C42:C60" ca="1" si="3">IF(A42="","",IF($A$41+$C$10&gt;A41+1,IF((FV($F$13,SUM((TODAY()-DATE(A42,1,1))/365)*-1,0,-$E$10))-(FV($G$15,SUM((TODAY()-DATE(A42,1,1))/365)*-1,0,-$E$15))-(FV($G$16,SUM((TODAY()-DATE(A42,1,1))/365)*-1,0,-$E$16))&lt;0,0,(FV($F$13,SUM((TODAY()-DATE(A42,1,1))/365)*-1,0,-$E$10))-(FV($G$15,SUM((TODAY()-DATE(A42,1,1))/365)*-1,0,-$E$15))-(FV($G$16,SUM((TODAY()-DATE(A42,1,1))/365)*-1,0,-$E$16))),IF((FV($F$13,SUM((TODAY()-DATE(A42,1,1))/365)*-1,0,-$E$11))-(FV($G$15,SUM((TODAY()-DATE(A42,1,1))/365)*-1,0,-$E$15))-(FV($G$16,SUM((TODAY()-DATE(A42,1,1))/365)*-1,0,-$E$16))&lt;0,0,(FV($F$13,SUM((TODAY()-DATE(A42,1,1))/365)*-1,0,-$E$11))-(FV($G$15,SUM((TODAY()-DATE(A42,1,1))/365)*-1,0,-$E$15))-(FV($G$16,SUM((TODAY()-DATE(A42,1,1))/365)*-1,0,-$E$16)))))</f>
        <v>51382.869766410608</v>
      </c>
      <c r="D42" s="68">
        <f ca="1">IF(A42="","",-PV($E$20,1,C42,IF(D43="",0,D43),1))</f>
        <v>722198.7353756387</v>
      </c>
      <c r="E42" s="35"/>
      <c r="F42" s="67" t="str">
        <f t="shared" ref="F42:F60" si="4">IF(F41="","",IF($A$41+$C$10+$C$11&gt;F41+1,F41+1,""))</f>
        <v/>
      </c>
      <c r="G42" s="67" t="str">
        <f t="shared" ref="G42:G60" si="5">IF(F42="","",G41+1)</f>
        <v/>
      </c>
      <c r="H42" s="68" t="str">
        <f t="shared" ref="H42:H60" ca="1" si="6">IF(F42="","",IF($A$41+$C$10&gt;F41+1,IF((FV($F$13,SUM((TODAY()-DATE(F42,1,1))/365)*-1,0,-$E$10))-(FV($G$15,SUM((TODAY()-DATE(F42,1,1))/365)*-1,0,-$E$15))-(FV($G$16,SUM((TODAY()-DATE(F42,1,1))/365)*-1,0,-$E$16))&lt;0,0,(FV($F$13,SUM((TODAY()-DATE(F42,1,1))/365)*-1,0,-$E$10))-(FV($G$15,SUM((TODAY()-DATE(F42,1,1))/365)*-1,0,-$E$15))-(FV($G$16,SUM((TODAY()-DATE(F42,1,1))/365)*-1,0,-$E$16))),IF((FV($F$13,SUM((TODAY()-DATE(F42,1,1))/365)*-1,0,-$E$11))-(FV($G$15,SUM((TODAY()-DATE(F42,1,1))/365)*-1,0,-$E$15))-(FV($G$16,SUM((TODAY()-DATE(F42,1,1))/365)*-1,0,-$E$16))&lt;0,0,(FV($F$13,SUM((TODAY()-DATE(F42,1,1))/365)*-1,0,-$E$11))-(FV($G$15,SUM((TODAY()-DATE(F42,1,1))/365)*-1,0,-$E$15))-(FV($G$16,SUM((TODAY()-DATE(F42,1,1))/365)*-1,0,-$E$16)))))</f>
        <v/>
      </c>
      <c r="I42" s="69" t="str">
        <f t="shared" si="0"/>
        <v/>
      </c>
      <c r="J42" s="31"/>
      <c r="K42" s="32"/>
      <c r="L42" s="31"/>
      <c r="M42" s="16"/>
      <c r="N42" s="16"/>
      <c r="O42" s="17"/>
      <c r="Q42" s="67"/>
    </row>
    <row r="43" spans="1:17" s="9" customFormat="1" ht="13.2" x14ac:dyDescent="0.25">
      <c r="A43" s="66">
        <f t="shared" si="1"/>
        <v>2032</v>
      </c>
      <c r="B43" s="67">
        <f t="shared" si="2"/>
        <v>67</v>
      </c>
      <c r="C43" s="68">
        <f t="shared" ca="1" si="3"/>
        <v>52588.077207515082</v>
      </c>
      <c r="D43" s="68">
        <f t="shared" ref="D43:D59" ca="1" si="7">IF(A43="","",-PV($E$20,1,C43,IF(D44="",0,D44),1))</f>
        <v>701002.57956164342</v>
      </c>
      <c r="E43" s="35"/>
      <c r="F43" s="67" t="str">
        <f t="shared" si="4"/>
        <v/>
      </c>
      <c r="G43" s="67" t="str">
        <f t="shared" si="5"/>
        <v/>
      </c>
      <c r="H43" s="68" t="str">
        <f t="shared" ca="1" si="6"/>
        <v/>
      </c>
      <c r="I43" s="69" t="str">
        <f t="shared" si="0"/>
        <v/>
      </c>
      <c r="J43" s="31"/>
      <c r="K43" s="32"/>
      <c r="L43" s="31"/>
      <c r="M43" s="16"/>
      <c r="N43" s="16"/>
      <c r="O43" s="17"/>
      <c r="Q43" s="67"/>
    </row>
    <row r="44" spans="1:17" s="9" customFormat="1" ht="13.2" x14ac:dyDescent="0.25">
      <c r="A44" s="66">
        <f t="shared" si="1"/>
        <v>2033</v>
      </c>
      <c r="B44" s="67">
        <f t="shared" si="2"/>
        <v>68</v>
      </c>
      <c r="C44" s="68">
        <f t="shared" ca="1" si="3"/>
        <v>53824.87253521676</v>
      </c>
      <c r="D44" s="68">
        <f t="shared" ca="1" si="7"/>
        <v>677593.1549600641</v>
      </c>
      <c r="E44" s="35"/>
      <c r="F44" s="67" t="str">
        <f t="shared" si="4"/>
        <v/>
      </c>
      <c r="G44" s="67" t="str">
        <f t="shared" si="5"/>
        <v/>
      </c>
      <c r="H44" s="68" t="str">
        <f t="shared" ca="1" si="6"/>
        <v/>
      </c>
      <c r="I44" s="69" t="str">
        <f t="shared" si="0"/>
        <v/>
      </c>
      <c r="J44" s="31"/>
      <c r="K44" s="32"/>
      <c r="L44" s="31"/>
      <c r="M44" s="16"/>
      <c r="N44" s="16"/>
      <c r="O44" s="17"/>
      <c r="Q44" s="67" t="str">
        <f t="shared" ref="Q44:Q60" si="8">IF(Q43="","",IF($A$41+$C$10+$C$11&gt;Q43+1,Q43+1,""))</f>
        <v/>
      </c>
    </row>
    <row r="45" spans="1:17" s="9" customFormat="1" ht="13.2" x14ac:dyDescent="0.25">
      <c r="A45" s="66">
        <f t="shared" si="1"/>
        <v>2034</v>
      </c>
      <c r="B45" s="67">
        <f t="shared" si="2"/>
        <v>69</v>
      </c>
      <c r="C45" s="68">
        <f t="shared" ca="1" si="3"/>
        <v>55087.154492643094</v>
      </c>
      <c r="D45" s="68">
        <f t="shared" ca="1" si="7"/>
        <v>651837.8551339655</v>
      </c>
      <c r="E45" s="35"/>
      <c r="F45" s="67" t="str">
        <f t="shared" si="4"/>
        <v/>
      </c>
      <c r="G45" s="67" t="str">
        <f t="shared" si="5"/>
        <v/>
      </c>
      <c r="H45" s="68" t="str">
        <f t="shared" ca="1" si="6"/>
        <v/>
      </c>
      <c r="I45" s="69" t="str">
        <f t="shared" si="0"/>
        <v/>
      </c>
      <c r="J45" s="31"/>
      <c r="K45" s="32"/>
      <c r="L45" s="31"/>
      <c r="M45" s="16"/>
      <c r="N45" s="16"/>
      <c r="O45" s="17"/>
      <c r="Q45" s="67" t="str">
        <f t="shared" si="8"/>
        <v/>
      </c>
    </row>
    <row r="46" spans="1:17" s="9" customFormat="1" ht="13.2" x14ac:dyDescent="0.25">
      <c r="A46" s="66">
        <f t="shared" si="1"/>
        <v>2035</v>
      </c>
      <c r="B46" s="67">
        <f t="shared" si="2"/>
        <v>70</v>
      </c>
      <c r="C46" s="68">
        <f t="shared" ca="1" si="3"/>
        <v>56378.934312495367</v>
      </c>
      <c r="D46" s="68">
        <f t="shared" ca="1" si="7"/>
        <v>623604.48217018205</v>
      </c>
      <c r="E46" s="35"/>
      <c r="F46" s="67" t="str">
        <f t="shared" si="4"/>
        <v/>
      </c>
      <c r="G46" s="67" t="str">
        <f t="shared" si="5"/>
        <v/>
      </c>
      <c r="H46" s="68" t="str">
        <f t="shared" ca="1" si="6"/>
        <v/>
      </c>
      <c r="I46" s="69" t="str">
        <f t="shared" si="0"/>
        <v/>
      </c>
      <c r="J46" s="31"/>
      <c r="K46" s="32"/>
      <c r="L46" s="31"/>
      <c r="M46" s="16"/>
      <c r="N46" s="16"/>
      <c r="O46" s="17"/>
      <c r="Q46" s="67" t="str">
        <f t="shared" si="8"/>
        <v/>
      </c>
    </row>
    <row r="47" spans="1:17" s="9" customFormat="1" ht="13.2" x14ac:dyDescent="0.25">
      <c r="A47" s="66">
        <f t="shared" si="1"/>
        <v>2036</v>
      </c>
      <c r="B47" s="67">
        <f t="shared" si="2"/>
        <v>71</v>
      </c>
      <c r="C47" s="68">
        <f t="shared" ca="1" si="3"/>
        <v>57700.898427048858</v>
      </c>
      <c r="D47" s="68">
        <f t="shared" ca="1" si="7"/>
        <v>592750.69751128263</v>
      </c>
      <c r="E47" s="35"/>
      <c r="F47" s="67" t="str">
        <f t="shared" si="4"/>
        <v/>
      </c>
      <c r="G47" s="67" t="str">
        <f t="shared" si="5"/>
        <v/>
      </c>
      <c r="H47" s="68" t="str">
        <f t="shared" ca="1" si="6"/>
        <v/>
      </c>
      <c r="I47" s="69" t="str">
        <f t="shared" si="0"/>
        <v/>
      </c>
      <c r="J47" s="31"/>
      <c r="K47" s="32"/>
      <c r="L47" s="31"/>
      <c r="M47" s="16"/>
      <c r="N47" s="16"/>
      <c r="O47" s="17"/>
      <c r="Q47" s="67" t="str">
        <f t="shared" si="8"/>
        <v/>
      </c>
    </row>
    <row r="48" spans="1:17" s="9" customFormat="1" ht="13.2" x14ac:dyDescent="0.25">
      <c r="A48" s="66">
        <f t="shared" si="1"/>
        <v>2037</v>
      </c>
      <c r="B48" s="67">
        <f t="shared" si="2"/>
        <v>72</v>
      </c>
      <c r="C48" s="68">
        <f t="shared" ca="1" si="3"/>
        <v>59057.498683910868</v>
      </c>
      <c r="D48" s="68">
        <f t="shared" ca="1" si="7"/>
        <v>559127.04004302435</v>
      </c>
      <c r="E48" s="35"/>
      <c r="F48" s="67" t="str">
        <f t="shared" si="4"/>
        <v/>
      </c>
      <c r="G48" s="67" t="str">
        <f t="shared" si="5"/>
        <v/>
      </c>
      <c r="H48" s="68" t="str">
        <f t="shared" ca="1" si="6"/>
        <v/>
      </c>
      <c r="I48" s="69" t="str">
        <f t="shared" si="0"/>
        <v/>
      </c>
      <c r="J48" s="31"/>
      <c r="K48" s="32"/>
      <c r="L48" s="31"/>
      <c r="M48" s="16"/>
      <c r="N48" s="16"/>
      <c r="O48" s="17"/>
      <c r="Q48" s="67" t="str">
        <f t="shared" si="8"/>
        <v/>
      </c>
    </row>
    <row r="49" spans="1:17" s="9" customFormat="1" ht="13.2" x14ac:dyDescent="0.25">
      <c r="A49" s="66">
        <f t="shared" si="1"/>
        <v>2038</v>
      </c>
      <c r="B49" s="67">
        <f t="shared" si="2"/>
        <v>73</v>
      </c>
      <c r="C49" s="68">
        <f t="shared" ca="1" si="3"/>
        <v>60442.042216003727</v>
      </c>
      <c r="D49" s="68">
        <f t="shared" ca="1" si="7"/>
        <v>522572.67072027357</v>
      </c>
      <c r="E49" s="35"/>
      <c r="F49" s="67" t="str">
        <f t="shared" si="4"/>
        <v/>
      </c>
      <c r="G49" s="67" t="str">
        <f t="shared" si="5"/>
        <v/>
      </c>
      <c r="H49" s="68" t="str">
        <f t="shared" ca="1" si="6"/>
        <v/>
      </c>
      <c r="I49" s="69" t="str">
        <f t="shared" si="0"/>
        <v/>
      </c>
      <c r="J49" s="31"/>
      <c r="K49" s="32"/>
      <c r="L49" s="31"/>
      <c r="M49" s="16"/>
      <c r="N49" s="16"/>
      <c r="O49" s="17"/>
      <c r="Q49" s="67" t="str">
        <f t="shared" si="8"/>
        <v/>
      </c>
    </row>
    <row r="50" spans="1:17" s="9" customFormat="1" ht="13.2" x14ac:dyDescent="0.25">
      <c r="A50" s="66">
        <f t="shared" si="1"/>
        <v>2039</v>
      </c>
      <c r="B50" s="67">
        <f t="shared" si="2"/>
        <v>74</v>
      </c>
      <c r="C50" s="68">
        <f t="shared" ca="1" si="3"/>
        <v>61858.928209086138</v>
      </c>
      <c r="D50" s="68">
        <f t="shared" ca="1" si="7"/>
        <v>482926.5067869621</v>
      </c>
      <c r="E50" s="35"/>
      <c r="F50" s="67" t="str">
        <f t="shared" si="4"/>
        <v/>
      </c>
      <c r="G50" s="67" t="str">
        <f t="shared" si="5"/>
        <v/>
      </c>
      <c r="H50" s="68" t="str">
        <f t="shared" ca="1" si="6"/>
        <v/>
      </c>
      <c r="I50" s="69" t="str">
        <f t="shared" si="0"/>
        <v/>
      </c>
      <c r="J50" s="31"/>
      <c r="K50" s="32"/>
      <c r="L50" s="31"/>
      <c r="M50" s="16"/>
      <c r="N50" s="16"/>
      <c r="O50" s="17"/>
      <c r="Q50" s="67" t="str">
        <f t="shared" si="8"/>
        <v/>
      </c>
    </row>
    <row r="51" spans="1:17" s="9" customFormat="1" ht="13.2" x14ac:dyDescent="0.25">
      <c r="A51" s="66">
        <f t="shared" si="1"/>
        <v>2040</v>
      </c>
      <c r="B51" s="67">
        <f t="shared" si="2"/>
        <v>75</v>
      </c>
      <c r="C51" s="68">
        <f t="shared" ca="1" si="3"/>
        <v>48275.884004313688</v>
      </c>
      <c r="D51" s="68">
        <f t="shared" ca="1" si="7"/>
        <v>440015.61961388047</v>
      </c>
      <c r="E51" s="35"/>
      <c r="F51" s="67" t="str">
        <f t="shared" si="4"/>
        <v/>
      </c>
      <c r="G51" s="67" t="str">
        <f t="shared" si="5"/>
        <v/>
      </c>
      <c r="H51" s="68" t="str">
        <f t="shared" ca="1" si="6"/>
        <v/>
      </c>
      <c r="I51" s="69" t="str">
        <f t="shared" si="0"/>
        <v/>
      </c>
      <c r="J51" s="31"/>
      <c r="K51" s="32"/>
      <c r="L51" s="31"/>
      <c r="M51" s="16"/>
      <c r="N51" s="16"/>
      <c r="O51" s="17"/>
      <c r="Q51" s="67" t="str">
        <f t="shared" si="8"/>
        <v/>
      </c>
    </row>
    <row r="52" spans="1:17" s="9" customFormat="1" ht="13.2" x14ac:dyDescent="0.25">
      <c r="A52" s="66">
        <f t="shared" si="1"/>
        <v>2041</v>
      </c>
      <c r="B52" s="67">
        <f t="shared" si="2"/>
        <v>76</v>
      </c>
      <c r="C52" s="68">
        <f t="shared" ca="1" si="3"/>
        <v>49402.04886383628</v>
      </c>
      <c r="D52" s="68">
        <f t="shared" ca="1" si="7"/>
        <v>409368.02371199732</v>
      </c>
      <c r="E52" s="35"/>
      <c r="F52" s="67" t="str">
        <f t="shared" si="4"/>
        <v/>
      </c>
      <c r="G52" s="67" t="str">
        <f t="shared" si="5"/>
        <v/>
      </c>
      <c r="H52" s="68" t="str">
        <f t="shared" ca="1" si="6"/>
        <v/>
      </c>
      <c r="I52" s="69" t="str">
        <f t="shared" si="0"/>
        <v/>
      </c>
      <c r="J52" s="31"/>
      <c r="K52" s="32"/>
      <c r="L52" s="31"/>
      <c r="M52" s="16"/>
      <c r="N52" s="16"/>
      <c r="O52" s="17"/>
      <c r="Q52" s="67" t="str">
        <f t="shared" si="8"/>
        <v/>
      </c>
    </row>
    <row r="53" spans="1:17" s="9" customFormat="1" ht="13.2" x14ac:dyDescent="0.25">
      <c r="A53" s="66">
        <f t="shared" si="1"/>
        <v>2042</v>
      </c>
      <c r="B53" s="67">
        <f t="shared" si="2"/>
        <v>77</v>
      </c>
      <c r="C53" s="68">
        <f t="shared" ca="1" si="3"/>
        <v>50551.166369416067</v>
      </c>
      <c r="D53" s="68">
        <f t="shared" ca="1" si="7"/>
        <v>376164.4437163283</v>
      </c>
      <c r="E53" s="35"/>
      <c r="F53" s="67" t="str">
        <f t="shared" si="4"/>
        <v/>
      </c>
      <c r="G53" s="67" t="str">
        <f t="shared" si="5"/>
        <v/>
      </c>
      <c r="H53" s="68" t="str">
        <f t="shared" ca="1" si="6"/>
        <v/>
      </c>
      <c r="I53" s="69" t="str">
        <f t="shared" si="0"/>
        <v/>
      </c>
      <c r="J53" s="31"/>
      <c r="K53" s="32"/>
      <c r="L53" s="31"/>
      <c r="M53" s="16"/>
      <c r="N53" s="16"/>
      <c r="O53" s="17"/>
      <c r="Q53" s="67" t="str">
        <f t="shared" si="8"/>
        <v/>
      </c>
    </row>
    <row r="54" spans="1:17" s="9" customFormat="1" ht="13.2" x14ac:dyDescent="0.25">
      <c r="A54" s="66">
        <f t="shared" si="1"/>
        <v>2043</v>
      </c>
      <c r="B54" s="67">
        <f t="shared" si="2"/>
        <v>78</v>
      </c>
      <c r="C54" s="68">
        <f t="shared" ca="1" si="3"/>
        <v>51726.876340116651</v>
      </c>
      <c r="D54" s="68">
        <f t="shared" ca="1" si="7"/>
        <v>340265.87482752337</v>
      </c>
      <c r="E54" s="35"/>
      <c r="F54" s="67" t="str">
        <f t="shared" si="4"/>
        <v/>
      </c>
      <c r="G54" s="67" t="str">
        <f t="shared" si="5"/>
        <v/>
      </c>
      <c r="H54" s="68" t="str">
        <f t="shared" ca="1" si="6"/>
        <v/>
      </c>
      <c r="I54" s="69" t="str">
        <f t="shared" si="0"/>
        <v/>
      </c>
      <c r="J54" s="31"/>
      <c r="K54" s="32"/>
      <c r="L54" s="31"/>
      <c r="M54" s="16"/>
      <c r="N54" s="16"/>
      <c r="O54" s="17"/>
      <c r="Q54" s="67" t="str">
        <f t="shared" si="8"/>
        <v/>
      </c>
    </row>
    <row r="55" spans="1:17" s="9" customFormat="1" ht="13.2" x14ac:dyDescent="0.25">
      <c r="A55" s="66">
        <f t="shared" si="1"/>
        <v>2044</v>
      </c>
      <c r="B55" s="67">
        <f t="shared" si="2"/>
        <v>79</v>
      </c>
      <c r="C55" s="68">
        <f t="shared" ca="1" si="3"/>
        <v>52929.790363515589</v>
      </c>
      <c r="D55" s="68">
        <f t="shared" ca="1" si="7"/>
        <v>301523.25341934006</v>
      </c>
      <c r="E55" s="35"/>
      <c r="F55" s="67" t="str">
        <f t="shared" si="4"/>
        <v/>
      </c>
      <c r="G55" s="67" t="str">
        <f t="shared" si="5"/>
        <v/>
      </c>
      <c r="H55" s="68" t="str">
        <f t="shared" ca="1" si="6"/>
        <v/>
      </c>
      <c r="I55" s="69" t="str">
        <f t="shared" si="0"/>
        <v/>
      </c>
      <c r="J55" s="31"/>
      <c r="K55" s="32"/>
      <c r="L55" s="31"/>
      <c r="M55" s="16"/>
      <c r="N55" s="16"/>
      <c r="O55" s="17"/>
      <c r="Q55" s="67" t="str">
        <f t="shared" si="8"/>
        <v/>
      </c>
    </row>
    <row r="56" spans="1:17" s="9" customFormat="1" ht="13.2" x14ac:dyDescent="0.25">
      <c r="A56" s="66">
        <f t="shared" si="1"/>
        <v>2045</v>
      </c>
      <c r="B56" s="67">
        <f t="shared" si="2"/>
        <v>80</v>
      </c>
      <c r="C56" s="68">
        <f t="shared" ca="1" si="3"/>
        <v>54163.944697168037</v>
      </c>
      <c r="D56" s="68">
        <f t="shared" ca="1" si="7"/>
        <v>259780.16889333664</v>
      </c>
      <c r="E56" s="35"/>
      <c r="F56" s="67" t="str">
        <f t="shared" si="4"/>
        <v/>
      </c>
      <c r="G56" s="67" t="str">
        <f t="shared" si="5"/>
        <v/>
      </c>
      <c r="H56" s="68" t="str">
        <f t="shared" ca="1" si="6"/>
        <v/>
      </c>
      <c r="I56" s="69" t="str">
        <f t="shared" si="0"/>
        <v/>
      </c>
      <c r="J56" s="31"/>
      <c r="K56" s="32"/>
      <c r="L56" s="31"/>
      <c r="M56" s="16"/>
      <c r="N56" s="16"/>
      <c r="O56" s="17"/>
      <c r="Q56" s="67" t="str">
        <f t="shared" si="8"/>
        <v/>
      </c>
    </row>
    <row r="57" spans="1:17" s="9" customFormat="1" ht="13.2" x14ac:dyDescent="0.25">
      <c r="A57" s="66">
        <f t="shared" si="1"/>
        <v>2046</v>
      </c>
      <c r="B57" s="67">
        <f t="shared" si="2"/>
        <v>81</v>
      </c>
      <c r="C57" s="68">
        <f t="shared" ca="1" si="3"/>
        <v>55423.236631087653</v>
      </c>
      <c r="D57" s="68">
        <f t="shared" ca="1" si="7"/>
        <v>214868.95428499623</v>
      </c>
      <c r="E57" s="35"/>
      <c r="F57" s="67" t="str">
        <f t="shared" si="4"/>
        <v/>
      </c>
      <c r="G57" s="67" t="str">
        <f t="shared" si="5"/>
        <v/>
      </c>
      <c r="H57" s="68" t="str">
        <f t="shared" ca="1" si="6"/>
        <v/>
      </c>
      <c r="I57" s="69" t="str">
        <f t="shared" si="0"/>
        <v/>
      </c>
      <c r="J57" s="31"/>
      <c r="K57" s="32"/>
      <c r="L57" s="31"/>
      <c r="M57" s="16"/>
      <c r="N57" s="16"/>
      <c r="O57" s="17"/>
      <c r="Q57" s="67" t="str">
        <f t="shared" si="8"/>
        <v/>
      </c>
    </row>
    <row r="58" spans="1:17" s="9" customFormat="1" ht="13.2" x14ac:dyDescent="0.25">
      <c r="A58" s="66">
        <f t="shared" si="1"/>
        <v>2047</v>
      </c>
      <c r="B58" s="67">
        <f t="shared" si="2"/>
        <v>82</v>
      </c>
      <c r="C58" s="68">
        <f t="shared" ca="1" si="3"/>
        <v>56711.654217473391</v>
      </c>
      <c r="D58" s="68">
        <f t="shared" ca="1" si="7"/>
        <v>166620.77494833455</v>
      </c>
      <c r="E58" s="35"/>
      <c r="F58" s="67" t="str">
        <f t="shared" si="4"/>
        <v/>
      </c>
      <c r="G58" s="67" t="str">
        <f t="shared" si="5"/>
        <v/>
      </c>
      <c r="H58" s="68" t="str">
        <f t="shared" ca="1" si="6"/>
        <v/>
      </c>
      <c r="I58" s="69" t="str">
        <f t="shared" si="0"/>
        <v/>
      </c>
      <c r="J58" s="31"/>
      <c r="K58" s="32"/>
      <c r="L58" s="31"/>
      <c r="M58" s="16"/>
      <c r="N58" s="16"/>
      <c r="O58" s="17"/>
      <c r="Q58" s="67" t="str">
        <f t="shared" si="8"/>
        <v/>
      </c>
    </row>
    <row r="59" spans="1:17" s="9" customFormat="1" ht="13.2" x14ac:dyDescent="0.25">
      <c r="A59" s="66">
        <f t="shared" si="1"/>
        <v>2048</v>
      </c>
      <c r="B59" s="67">
        <f t="shared" si="2"/>
        <v>83</v>
      </c>
      <c r="C59" s="68">
        <f t="shared" ca="1" si="3"/>
        <v>58029.866843427859</v>
      </c>
      <c r="D59" s="68">
        <f t="shared" ca="1" si="7"/>
        <v>114855.03116375001</v>
      </c>
      <c r="E59" s="35"/>
      <c r="F59" s="67" t="str">
        <f t="shared" si="4"/>
        <v/>
      </c>
      <c r="G59" s="67" t="str">
        <f t="shared" si="5"/>
        <v/>
      </c>
      <c r="H59" s="68" t="str">
        <f t="shared" ca="1" si="6"/>
        <v/>
      </c>
      <c r="I59" s="69" t="str">
        <f t="shared" si="0"/>
        <v/>
      </c>
      <c r="J59" s="31"/>
      <c r="K59" s="32"/>
      <c r="L59" s="31"/>
      <c r="M59" s="16"/>
      <c r="N59" s="16"/>
      <c r="O59" s="17"/>
      <c r="Q59" s="67" t="str">
        <f t="shared" si="8"/>
        <v/>
      </c>
    </row>
    <row r="60" spans="1:17" s="9" customFormat="1" ht="13.2" x14ac:dyDescent="0.25">
      <c r="A60" s="66">
        <f t="shared" si="1"/>
        <v>2049</v>
      </c>
      <c r="B60" s="67">
        <f t="shared" si="2"/>
        <v>84</v>
      </c>
      <c r="C60" s="68">
        <f t="shared" ca="1" si="3"/>
        <v>59382.296714736833</v>
      </c>
      <c r="D60" s="68">
        <f ca="1">IF(A60="","",-PV($E$20,1,C60,IF(I41="",0,I41),1))</f>
        <v>59382.296714736745</v>
      </c>
      <c r="E60" s="35"/>
      <c r="F60" s="67" t="str">
        <f t="shared" si="4"/>
        <v/>
      </c>
      <c r="G60" s="67" t="str">
        <f t="shared" si="5"/>
        <v/>
      </c>
      <c r="H60" s="68" t="str">
        <f t="shared" ca="1" si="6"/>
        <v/>
      </c>
      <c r="I60" s="69" t="str">
        <f>IF(F60="","",-PV($E$20,1,H60,0,1))</f>
        <v/>
      </c>
      <c r="J60" s="31"/>
      <c r="K60" s="32"/>
      <c r="L60" s="31"/>
      <c r="M60" s="16"/>
      <c r="N60" s="16"/>
      <c r="O60" s="17"/>
      <c r="Q60" s="67" t="str">
        <f t="shared" si="8"/>
        <v/>
      </c>
    </row>
    <row r="61" spans="1:17" s="9" customFormat="1" ht="8.1" customHeight="1" x14ac:dyDescent="0.25">
      <c r="A61" s="70"/>
      <c r="B61" s="15"/>
      <c r="C61" s="15"/>
      <c r="D61" s="15"/>
      <c r="E61" s="71"/>
      <c r="F61" s="72"/>
      <c r="G61" s="72"/>
      <c r="H61" s="73"/>
      <c r="I61" s="74"/>
      <c r="J61" s="31"/>
      <c r="K61" s="32"/>
      <c r="L61" s="31"/>
      <c r="M61" s="16"/>
      <c r="N61" s="16"/>
      <c r="O61" s="17"/>
    </row>
    <row r="62" spans="1:17" s="9" customFormat="1" ht="8.1" customHeight="1" x14ac:dyDescent="0.25">
      <c r="A62" s="10"/>
      <c r="B62" s="10"/>
      <c r="C62" s="10"/>
      <c r="D62" s="10"/>
      <c r="E62" s="59"/>
      <c r="F62" s="56"/>
      <c r="G62" s="31"/>
      <c r="H62" s="60"/>
      <c r="I62" s="31"/>
      <c r="J62" s="31"/>
      <c r="K62" s="32"/>
      <c r="L62" s="31"/>
      <c r="M62" s="16"/>
      <c r="N62" s="16"/>
      <c r="O62" s="17"/>
    </row>
    <row r="63" spans="1:17" s="9" customFormat="1" ht="19.5" customHeight="1" x14ac:dyDescent="0.25">
      <c r="A63" s="152" t="s">
        <v>30</v>
      </c>
      <c r="B63" s="153"/>
      <c r="C63" s="153"/>
      <c r="D63" s="153"/>
      <c r="E63" s="153"/>
      <c r="F63" s="153"/>
      <c r="G63" s="153"/>
      <c r="H63" s="153"/>
      <c r="I63" s="154"/>
      <c r="J63" s="31"/>
      <c r="K63" s="31"/>
      <c r="L63" s="32"/>
      <c r="M63" s="31"/>
      <c r="N63" s="16"/>
      <c r="O63" s="16"/>
      <c r="P63" s="17"/>
    </row>
    <row r="64" spans="1:17" s="9" customFormat="1" ht="52.8" x14ac:dyDescent="0.25">
      <c r="A64" s="37"/>
      <c r="B64" s="43" t="s">
        <v>3</v>
      </c>
      <c r="C64" s="43" t="s">
        <v>4</v>
      </c>
      <c r="D64" s="96" t="s">
        <v>15</v>
      </c>
      <c r="E64" s="63" t="s">
        <v>13</v>
      </c>
      <c r="F64" s="148" t="s">
        <v>24</v>
      </c>
      <c r="G64" s="148"/>
      <c r="H64" s="80" t="s">
        <v>14</v>
      </c>
      <c r="I64" s="97" t="s">
        <v>20</v>
      </c>
      <c r="J64" s="31"/>
      <c r="K64" s="32"/>
      <c r="L64" s="31"/>
      <c r="M64" s="31"/>
      <c r="N64" s="16"/>
      <c r="O64" s="17"/>
    </row>
    <row r="65" spans="1:16" s="9" customFormat="1" ht="13.2" x14ac:dyDescent="0.25">
      <c r="A65" s="47"/>
      <c r="B65" s="67">
        <f>SUM('Retirement Planner'!E6+'Retirement Planner'!E7)</f>
        <v>2030</v>
      </c>
      <c r="C65" s="67">
        <f>'Retirement Planner'!E7</f>
        <v>65</v>
      </c>
      <c r="D65" s="87">
        <f t="shared" ref="D65:D75" ca="1" si="9">IF(B65="","",IF(ROUND(SUM(((TODAY()-DATE(B65,1,1))/365)*-1),2)&lt;=0,0,ROUND(SUM(((TODAY()-DATE(B65,1,1))/365)*-1),2)))</f>
        <v>7.18</v>
      </c>
      <c r="E65" s="68">
        <f ca="1">'Retirement Planner'!D41</f>
        <v>741304.45928172139</v>
      </c>
      <c r="F65" s="147">
        <f ca="1">-FV('Retirement Planner'!$E$19,D65,0,'Retirement Planner'!$E$18)</f>
        <v>628680.76817112137</v>
      </c>
      <c r="G65" s="147"/>
      <c r="H65" s="34">
        <f ca="1">IF(D65=0,0,IF(-PMT('Retirement Planner'!$E$19,D65,-'Retirement Planner'!$E$18,E65)&lt;0,0,-PMT('Retirement Planner'!$E$19,IF(D65&lt;1,D65/D65,D65),-'Retirement Planner'!$E$18,E65)))</f>
        <v>12804.819540768785</v>
      </c>
      <c r="I65" s="98">
        <f ca="1">IF(D65=0,0,IF(-PMT('Retirement Planner'!$E$19/12,D65*12,-'Retirement Planner'!$E$18,E65)&lt;0,0,-PMT('Retirement Planner'!$E$19/12,IF(D65&lt;1,D65/D65,D65*12),-'Retirement Planner'!$E$18,E65)))</f>
        <v>952.42126744842813</v>
      </c>
      <c r="J65" s="31"/>
      <c r="L65" s="31"/>
      <c r="M65" s="31"/>
      <c r="N65" s="16"/>
      <c r="O65" s="17"/>
    </row>
    <row r="66" spans="1:16" s="9" customFormat="1" ht="13.2" x14ac:dyDescent="0.25">
      <c r="A66" s="47"/>
      <c r="B66" s="67">
        <f t="shared" ref="B66:B75" si="10">SUM(B65+1)</f>
        <v>2031</v>
      </c>
      <c r="C66" s="67">
        <f t="shared" ref="C66:C75" si="11">IF(B66="","",C65+1)</f>
        <v>66</v>
      </c>
      <c r="D66" s="87">
        <f t="shared" ca="1" si="9"/>
        <v>8.18</v>
      </c>
      <c r="E66" s="68">
        <f ca="1">'Retirement Planner'!D42</f>
        <v>722198.7353756387</v>
      </c>
      <c r="F66" s="147">
        <f ca="1">-FV('Retirement Planner'!$E$19,D66,0,'Retirement Planner'!$E$18)</f>
        <v>669545.01810224424</v>
      </c>
      <c r="G66" s="147"/>
      <c r="H66" s="34">
        <f ca="1">IF(D66=0,0,IF(-PMT('Retirement Planner'!$E$19,D66,-'Retirement Planner'!$E$18,E66)&lt;0,0,-PMT('Retirement Planner'!$E$19,IF(D66&lt;1,D66/D66,D66),-'Retirement Planner'!$E$18,E66)))</f>
        <v>5078.9165340424042</v>
      </c>
      <c r="I66" s="98">
        <f ca="1">IF(D66=0,0,IF(-PMT('Retirement Planner'!$E$19/12,D66*12,-'Retirement Planner'!$E$18,E66)&lt;0,0,-PMT('Retirement Planner'!$E$19/12,IF(D66&lt;1,D66/D66,D66*12),-'Retirement Planner'!$E$18,E66)))</f>
        <v>328.73787389871745</v>
      </c>
      <c r="J66" s="31"/>
      <c r="L66" s="31"/>
      <c r="M66" s="31"/>
      <c r="N66" s="16"/>
      <c r="O66" s="17"/>
    </row>
    <row r="67" spans="1:16" s="9" customFormat="1" ht="13.2" x14ac:dyDescent="0.25">
      <c r="A67" s="47"/>
      <c r="B67" s="67">
        <f t="shared" si="10"/>
        <v>2032</v>
      </c>
      <c r="C67" s="67">
        <f t="shared" si="11"/>
        <v>67</v>
      </c>
      <c r="D67" s="87">
        <f t="shared" ca="1" si="9"/>
        <v>9.18</v>
      </c>
      <c r="E67" s="68">
        <f ca="1">'Retirement Planner'!D43</f>
        <v>701002.57956164342</v>
      </c>
      <c r="F67" s="147">
        <f ca="1">-FV('Retirement Planner'!$E$19,D67,0,'Retirement Planner'!$E$18)</f>
        <v>713065.44427889003</v>
      </c>
      <c r="G67" s="147"/>
      <c r="H67" s="34">
        <f ca="1">IF(D67=0,0,IF(-PMT('Retirement Planner'!$E$19,D67,-'Retirement Planner'!$E$18,E67)&lt;0,0,-PMT('Retirement Planner'!$E$19,IF(D67&lt;1,D67/D67,D67),-'Retirement Planner'!$E$18,E67)))</f>
        <v>0</v>
      </c>
      <c r="I67" s="98">
        <f ca="1">IF(D67=0,0,IF(-PMT('Retirement Planner'!$E$19/12,D67*12,-'Retirement Planner'!$E$18,E67)&lt;0,0,-PMT('Retirement Planner'!$E$19/12,IF(D67&lt;1,D67/D67,D67*12),-'Retirement Planner'!$E$18,E67)))</f>
        <v>0</v>
      </c>
      <c r="J67" s="31"/>
      <c r="L67" s="31"/>
      <c r="M67" s="31"/>
      <c r="N67" s="16"/>
      <c r="O67" s="17"/>
    </row>
    <row r="68" spans="1:16" s="9" customFormat="1" ht="13.2" x14ac:dyDescent="0.25">
      <c r="A68" s="47"/>
      <c r="B68" s="67">
        <f t="shared" si="10"/>
        <v>2033</v>
      </c>
      <c r="C68" s="67">
        <f t="shared" si="11"/>
        <v>68</v>
      </c>
      <c r="D68" s="87">
        <f t="shared" ca="1" si="9"/>
        <v>10.19</v>
      </c>
      <c r="E68" s="68">
        <f ca="1">'Retirement Planner'!D44</f>
        <v>677593.1549600641</v>
      </c>
      <c r="F68" s="147">
        <f ca="1">-FV('Retirement Planner'!$E$19,D68,0,'Retirement Planner'!$E$18)</f>
        <v>759893.08865490183</v>
      </c>
      <c r="G68" s="147"/>
      <c r="H68" s="34">
        <f ca="1">IF(D68=0,0,IF(-PMT('Retirement Planner'!$E$19,D68,-'Retirement Planner'!$E$18,E68)&lt;0,0,-PMT('Retirement Planner'!$E$19,IF(D68&lt;1,D68/D68,D68),-'Retirement Planner'!$E$18,E68)))</f>
        <v>0</v>
      </c>
      <c r="I68" s="98">
        <f ca="1">IF(D68=0,0,IF(-PMT('Retirement Planner'!$E$19/12,D68*12,-'Retirement Planner'!$E$18,E68)&lt;0,0,-PMT('Retirement Planner'!$E$19/12,IF(D68&lt;1,D68/D68,D68*12),-'Retirement Planner'!$E$18,E68)))</f>
        <v>0</v>
      </c>
      <c r="J68" s="31"/>
      <c r="L68" s="31"/>
      <c r="M68" s="31"/>
      <c r="N68" s="16"/>
      <c r="O68" s="17"/>
    </row>
    <row r="69" spans="1:16" s="9" customFormat="1" ht="13.2" x14ac:dyDescent="0.25">
      <c r="A69" s="47"/>
      <c r="B69" s="67">
        <f t="shared" si="10"/>
        <v>2034</v>
      </c>
      <c r="C69" s="67">
        <f t="shared" si="11"/>
        <v>69</v>
      </c>
      <c r="D69" s="87">
        <f t="shared" ca="1" si="9"/>
        <v>11.19</v>
      </c>
      <c r="E69" s="68">
        <f ca="1">'Retirement Planner'!D45</f>
        <v>651837.8551339655</v>
      </c>
      <c r="F69" s="147">
        <f ca="1">-FV('Retirement Planner'!$E$19,D69,0,'Retirement Planner'!$E$18)</f>
        <v>809286.13941747043</v>
      </c>
      <c r="G69" s="147"/>
      <c r="H69" s="34">
        <f ca="1">IF(D69=0,0,IF(-PMT('Retirement Planner'!$E$19,D69,-'Retirement Planner'!$E$18,E69)&lt;0,0,-PMT('Retirement Planner'!$E$19,IF(D69&lt;1,D69/D69,D69),-'Retirement Planner'!$E$18,E69)))</f>
        <v>0</v>
      </c>
      <c r="I69" s="98">
        <f ca="1">IF(D69=0,0,IF(-PMT('Retirement Planner'!$E$19/12,D69*12,-'Retirement Planner'!$E$18,E69)&lt;0,0,-PMT('Retirement Planner'!$E$19/12,IF(D69&lt;1,D69/D69,D69*12),-'Retirement Planner'!$E$18,E69)))</f>
        <v>0</v>
      </c>
      <c r="J69" s="31"/>
      <c r="L69" s="31"/>
      <c r="M69" s="31"/>
      <c r="N69" s="16"/>
      <c r="O69" s="17"/>
    </row>
    <row r="70" spans="1:16" s="9" customFormat="1" ht="13.2" x14ac:dyDescent="0.25">
      <c r="A70" s="47"/>
      <c r="B70" s="67">
        <f t="shared" si="10"/>
        <v>2035</v>
      </c>
      <c r="C70" s="67">
        <f t="shared" si="11"/>
        <v>70</v>
      </c>
      <c r="D70" s="87">
        <f t="shared" ca="1" si="9"/>
        <v>12.19</v>
      </c>
      <c r="E70" s="68">
        <f ca="1">'Retirement Planner'!D46</f>
        <v>623604.48217018205</v>
      </c>
      <c r="F70" s="147">
        <f ca="1">-FV('Retirement Planner'!$E$19,D70,0,'Retirement Planner'!$E$18)</f>
        <v>861889.73847960588</v>
      </c>
      <c r="G70" s="147"/>
      <c r="H70" s="34">
        <f ca="1">IF(D70=0,0,IF(-PMT('Retirement Planner'!$E$19,D70,-'Retirement Planner'!$E$18,E70)&lt;0,0,-PMT('Retirement Planner'!$E$19,IF(D70&lt;1,D70/D70,D70),-'Retirement Planner'!$E$18,E70)))</f>
        <v>0</v>
      </c>
      <c r="I70" s="98">
        <f ca="1">IF(D70=0,0,IF(-PMT('Retirement Planner'!$E$19/12,D70*12,-'Retirement Planner'!$E$18,E70)&lt;0,0,-PMT('Retirement Planner'!$E$19/12,IF(D70&lt;1,D70/D70,D70*12),-'Retirement Planner'!$E$18,E70)))</f>
        <v>0</v>
      </c>
      <c r="J70" s="31"/>
      <c r="L70" s="31"/>
      <c r="M70" s="31"/>
      <c r="N70" s="16"/>
      <c r="O70" s="17"/>
    </row>
    <row r="71" spans="1:16" s="9" customFormat="1" ht="13.2" x14ac:dyDescent="0.25">
      <c r="A71" s="47"/>
      <c r="B71" s="67">
        <f t="shared" si="10"/>
        <v>2036</v>
      </c>
      <c r="C71" s="67">
        <f t="shared" si="11"/>
        <v>71</v>
      </c>
      <c r="D71" s="87">
        <f t="shared" ca="1" si="9"/>
        <v>13.19</v>
      </c>
      <c r="E71" s="68">
        <f ca="1">'Retirement Planner'!D47</f>
        <v>592750.69751128263</v>
      </c>
      <c r="F71" s="147">
        <f ca="1">-FV('Retirement Planner'!$E$19,D71,0,'Retirement Planner'!$E$18)</f>
        <v>917912.57148078014</v>
      </c>
      <c r="G71" s="147"/>
      <c r="H71" s="34">
        <f ca="1">IF(D71=0,0,IF(-PMT('Retirement Planner'!$E$19,D71,-'Retirement Planner'!$E$18,E71)&lt;0,0,-PMT('Retirement Planner'!$E$19,IF(D71&lt;1,D71/D71,D71),-'Retirement Planner'!$E$18,E71)))</f>
        <v>0</v>
      </c>
      <c r="I71" s="98">
        <f ca="1">IF(D71=0,0,IF(-PMT('Retirement Planner'!$E$19/12,D71*12,-'Retirement Planner'!$E$18,E71)&lt;0,0,-PMT('Retirement Planner'!$E$19/12,IF(D71&lt;1,D71/D71,D71*12),-'Retirement Planner'!$E$18,E71)))</f>
        <v>0</v>
      </c>
      <c r="J71" s="31"/>
      <c r="L71" s="31"/>
      <c r="M71" s="31"/>
      <c r="N71" s="16"/>
      <c r="O71" s="17"/>
    </row>
    <row r="72" spans="1:16" s="9" customFormat="1" ht="13.2" x14ac:dyDescent="0.25">
      <c r="A72" s="47"/>
      <c r="B72" s="67">
        <f t="shared" si="10"/>
        <v>2037</v>
      </c>
      <c r="C72" s="67">
        <f t="shared" si="11"/>
        <v>72</v>
      </c>
      <c r="D72" s="87">
        <f t="shared" ca="1" si="9"/>
        <v>14.19</v>
      </c>
      <c r="E72" s="68">
        <f ca="1">'Retirement Planner'!D48</f>
        <v>559127.04004302435</v>
      </c>
      <c r="F72" s="147">
        <f ca="1">-FV('Retirement Planner'!$E$19,D72,0,'Retirement Planner'!$E$18)</f>
        <v>977576.88862703077</v>
      </c>
      <c r="G72" s="147"/>
      <c r="H72" s="34">
        <f ca="1">IF(D72=0,0,IF(-PMT('Retirement Planner'!$E$19,D72,-'Retirement Planner'!$E$18,E72)&lt;0,0,-PMT('Retirement Planner'!$E$19,IF(D72&lt;1,D72/D72,D72),-'Retirement Planner'!$E$18,E72)))</f>
        <v>0</v>
      </c>
      <c r="I72" s="98">
        <f ca="1">IF(D72=0,0,IF(-PMT('Retirement Planner'!$E$19/12,D72*12,-'Retirement Planner'!$E$18,E72)&lt;0,0,-PMT('Retirement Planner'!$E$19/12,IF(D72&lt;1,D72/D72,D72*12),-'Retirement Planner'!$E$18,E72)))</f>
        <v>0</v>
      </c>
      <c r="J72" s="31"/>
      <c r="L72" s="31"/>
      <c r="M72" s="31"/>
      <c r="N72" s="16"/>
      <c r="O72" s="17"/>
    </row>
    <row r="73" spans="1:16" s="9" customFormat="1" ht="13.2" x14ac:dyDescent="0.25">
      <c r="A73" s="47"/>
      <c r="B73" s="67">
        <f t="shared" si="10"/>
        <v>2038</v>
      </c>
      <c r="C73" s="67">
        <f t="shared" si="11"/>
        <v>73</v>
      </c>
      <c r="D73" s="87">
        <f t="shared" ca="1" si="9"/>
        <v>15.19</v>
      </c>
      <c r="E73" s="68">
        <f ca="1">'Retirement Planner'!D49</f>
        <v>522572.67072027357</v>
      </c>
      <c r="F73" s="147">
        <f ca="1">-FV('Retirement Planner'!$E$19,D73,0,'Retirement Planner'!$E$18)</f>
        <v>1041119.3863877879</v>
      </c>
      <c r="G73" s="147"/>
      <c r="H73" s="34">
        <f ca="1">IF(D73=0,0,IF(-PMT('Retirement Planner'!$E$19,D73,-'Retirement Planner'!$E$18,E73)&lt;0,0,-PMT('Retirement Planner'!$E$19,IF(D73&lt;1,D73/D73,D73),-'Retirement Planner'!$E$18,E73)))</f>
        <v>0</v>
      </c>
      <c r="I73" s="98">
        <f ca="1">IF(D73=0,0,IF(-PMT('Retirement Planner'!$E$19/12,D73*12,-'Retirement Planner'!$E$18,E73)&lt;0,0,-PMT('Retirement Planner'!$E$19/12,IF(D73&lt;1,D73/D73,D73*12),-'Retirement Planner'!$E$18,E73)))</f>
        <v>0</v>
      </c>
      <c r="J73" s="31"/>
      <c r="L73" s="31"/>
      <c r="M73" s="31"/>
      <c r="N73" s="16"/>
      <c r="O73" s="17"/>
    </row>
    <row r="74" spans="1:16" s="9" customFormat="1" ht="13.2" x14ac:dyDescent="0.25">
      <c r="A74" s="47"/>
      <c r="B74" s="67">
        <f t="shared" si="10"/>
        <v>2039</v>
      </c>
      <c r="C74" s="67">
        <f t="shared" si="11"/>
        <v>74</v>
      </c>
      <c r="D74" s="87">
        <f t="shared" ca="1" si="9"/>
        <v>16.190000000000001</v>
      </c>
      <c r="E74" s="68">
        <f ca="1">'Retirement Planner'!D50</f>
        <v>482926.5067869621</v>
      </c>
      <c r="F74" s="147">
        <f ca="1">-FV('Retirement Planner'!$E$19,D74,0,'Retirement Planner'!$E$18)</f>
        <v>1108792.1465029942</v>
      </c>
      <c r="G74" s="147"/>
      <c r="H74" s="34">
        <f ca="1">IF(D74=0,0,IF(-PMT('Retirement Planner'!$E$19,D74,-'Retirement Planner'!$E$18,E74)&lt;0,0,-PMT('Retirement Planner'!$E$19,IF(D74&lt;1,D74/D74,D74),-'Retirement Planner'!$E$18,E74)))</f>
        <v>0</v>
      </c>
      <c r="I74" s="98">
        <f ca="1">IF(D74=0,0,IF(-PMT('Retirement Planner'!$E$19/12,D74*12,-'Retirement Planner'!$E$18,E74)&lt;0,0,-PMT('Retirement Planner'!$E$19/12,IF(D74&lt;1,D74/D74,D74*12),-'Retirement Planner'!$E$18,E74)))</f>
        <v>0</v>
      </c>
      <c r="J74" s="31"/>
      <c r="L74" s="31"/>
      <c r="M74" s="31"/>
      <c r="N74" s="16"/>
      <c r="O74" s="17"/>
    </row>
    <row r="75" spans="1:16" s="9" customFormat="1" ht="13.2" x14ac:dyDescent="0.25">
      <c r="A75" s="47"/>
      <c r="B75" s="67">
        <f t="shared" si="10"/>
        <v>2040</v>
      </c>
      <c r="C75" s="67">
        <f t="shared" si="11"/>
        <v>75</v>
      </c>
      <c r="D75" s="87">
        <f t="shared" ca="1" si="9"/>
        <v>17.190000000000001</v>
      </c>
      <c r="E75" s="68">
        <f ca="1">'Retirement Planner'!D51</f>
        <v>440015.61961388047</v>
      </c>
      <c r="F75" s="147">
        <f ca="1">-FV('Retirement Planner'!$E$19,D75,0,'Retirement Planner'!$E$18)</f>
        <v>1180863.6360256886</v>
      </c>
      <c r="G75" s="147"/>
      <c r="H75" s="34">
        <f ca="1">IF(D75=0,0,IF(-PMT('Retirement Planner'!$E$19,D75,-'Retirement Planner'!$E$18,E75)&lt;0,0,-PMT('Retirement Planner'!$E$19,IF(D75&lt;1,D75/D75,D75),-'Retirement Planner'!$E$18,E75)))</f>
        <v>0</v>
      </c>
      <c r="I75" s="98">
        <f ca="1">IF(D75=0,0,IF(-PMT('Retirement Planner'!$E$19/12,D75*12,-'Retirement Planner'!$E$18,E75)&lt;0,0,-PMT('Retirement Planner'!$E$19/12,IF(D75&lt;1,D75/D75,D75*12),-'Retirement Planner'!$E$18,E75)))</f>
        <v>0</v>
      </c>
      <c r="J75" s="31"/>
      <c r="L75" s="31"/>
      <c r="M75" s="31"/>
      <c r="N75" s="16"/>
      <c r="O75" s="17"/>
    </row>
    <row r="76" spans="1:16" s="9" customFormat="1" ht="13.2" x14ac:dyDescent="0.25">
      <c r="A76" s="70"/>
      <c r="B76" s="15"/>
      <c r="C76" s="15"/>
      <c r="D76" s="15"/>
      <c r="E76" s="71"/>
      <c r="F76" s="72"/>
      <c r="G76" s="72"/>
      <c r="H76" s="73"/>
      <c r="I76" s="74"/>
      <c r="J76" s="32"/>
      <c r="K76" s="31"/>
      <c r="L76" s="31"/>
      <c r="M76" s="16"/>
      <c r="N76" s="17"/>
    </row>
    <row r="77" spans="1:16" s="3" customFormat="1" ht="15" customHeight="1" x14ac:dyDescent="0.3">
      <c r="A77" s="115" t="s">
        <v>36</v>
      </c>
      <c r="B77" s="116"/>
      <c r="C77" s="116"/>
      <c r="D77" s="116"/>
      <c r="E77" s="116"/>
      <c r="F77" s="116"/>
      <c r="G77" s="116"/>
      <c r="H77" s="116"/>
      <c r="I77" s="116"/>
      <c r="J77" s="14"/>
      <c r="K77" s="14"/>
      <c r="L77" s="14"/>
    </row>
    <row r="78" spans="1:16" s="3" customFormat="1" ht="15" customHeight="1" x14ac:dyDescent="0.3">
      <c r="A78" s="116"/>
      <c r="B78" s="116"/>
      <c r="C78" s="116"/>
      <c r="D78" s="116"/>
      <c r="E78" s="116"/>
      <c r="F78" s="116"/>
      <c r="G78" s="116"/>
      <c r="H78" s="116"/>
      <c r="I78" s="116"/>
      <c r="J78" s="14"/>
      <c r="K78" s="14"/>
      <c r="L78" s="14"/>
    </row>
    <row r="79" spans="1:16" s="3" customFormat="1" ht="15" customHeight="1" x14ac:dyDescent="0.3">
      <c r="A79" s="116"/>
      <c r="B79" s="116"/>
      <c r="C79" s="116"/>
      <c r="D79" s="116"/>
      <c r="E79" s="116"/>
      <c r="F79" s="116"/>
      <c r="G79" s="116"/>
      <c r="H79" s="116"/>
      <c r="I79" s="116"/>
      <c r="J79" s="14"/>
      <c r="K79" s="14"/>
      <c r="L79" s="14"/>
    </row>
    <row r="80" spans="1:16" s="100" customFormat="1" ht="14.4" customHeight="1" x14ac:dyDescent="0.25">
      <c r="A80" s="99"/>
      <c r="B80" s="99"/>
      <c r="C80" s="99"/>
      <c r="E80" s="101"/>
      <c r="F80" s="101"/>
      <c r="G80" s="101"/>
      <c r="H80" s="101"/>
      <c r="I80" s="102" t="s">
        <v>35</v>
      </c>
      <c r="J80" s="113"/>
      <c r="K80" s="103"/>
      <c r="L80" s="103"/>
      <c r="N80" s="104"/>
      <c r="O80" s="105"/>
      <c r="P80" s="105"/>
    </row>
    <row r="81" spans="1:16" s="100" customFormat="1" ht="18.75" customHeight="1" x14ac:dyDescent="0.25">
      <c r="A81" s="106"/>
      <c r="B81" s="107"/>
      <c r="C81" s="107"/>
      <c r="D81" s="107"/>
      <c r="N81" s="104"/>
      <c r="O81" s="105"/>
      <c r="P81" s="105"/>
    </row>
    <row r="82" spans="1:16" s="108" customFormat="1" ht="13.2" x14ac:dyDescent="0.25">
      <c r="A82" s="18"/>
      <c r="C82" s="109"/>
      <c r="D82" s="110"/>
      <c r="E82" s="109"/>
      <c r="F82" s="109"/>
      <c r="G82" s="111"/>
      <c r="H82" s="110"/>
      <c r="I82" s="109"/>
      <c r="J82" s="109"/>
    </row>
    <row r="83" spans="1:16" s="100" customFormat="1" ht="13.2" x14ac:dyDescent="0.25">
      <c r="A83" s="19"/>
      <c r="C83" s="112"/>
      <c r="D83" s="19"/>
      <c r="E83" s="112"/>
      <c r="F83" s="112"/>
      <c r="G83" s="112"/>
      <c r="H83" s="19"/>
      <c r="I83" s="112"/>
      <c r="J83" s="112"/>
    </row>
  </sheetData>
  <sheetProtection password="C6A6" sheet="1" objects="1" scenarios="1"/>
  <mergeCells count="28">
    <mergeCell ref="F70:G70"/>
    <mergeCell ref="F71:G71"/>
    <mergeCell ref="F72:G72"/>
    <mergeCell ref="F73:G73"/>
    <mergeCell ref="F74:G74"/>
    <mergeCell ref="F75:G75"/>
    <mergeCell ref="F67:G67"/>
    <mergeCell ref="F68:G68"/>
    <mergeCell ref="F69:G69"/>
    <mergeCell ref="F64:G64"/>
    <mergeCell ref="A34:I34"/>
    <mergeCell ref="A63:I63"/>
    <mergeCell ref="A27:I27"/>
    <mergeCell ref="A26:I26"/>
    <mergeCell ref="A30:I30"/>
    <mergeCell ref="A23:I23"/>
    <mergeCell ref="F65:G65"/>
    <mergeCell ref="F66:G66"/>
    <mergeCell ref="A3:I3"/>
    <mergeCell ref="A77:I79"/>
    <mergeCell ref="A39:I39"/>
    <mergeCell ref="A24:I24"/>
    <mergeCell ref="A29:I29"/>
    <mergeCell ref="A25:I25"/>
    <mergeCell ref="A28:I28"/>
    <mergeCell ref="A35:I35"/>
    <mergeCell ref="A36:I36"/>
    <mergeCell ref="A37:I37"/>
  </mergeCells>
  <printOptions horizontalCentered="1"/>
  <pageMargins left="0.55118110236220474" right="0.55118110236220474" top="0.31496062992125984" bottom="0.31496062992125984" header="0.51181102362204722" footer="0.31496062992125984"/>
  <pageSetup scale="93" firstPageNumber="6" fitToHeight="2" pageOrder="overThenDown" orientation="portrait" useFirstPageNumber="1" r:id="rId1"/>
  <headerFooter scaleWithDoc="0" alignWithMargins="0">
    <oddFooter>&amp;R&amp;9Manitoba Agriculture, Food and Rural Development</oddFooter>
  </headerFooter>
  <rowBreaks count="1" manualBreakCount="1">
    <brk id="38" max="8"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C3257931C4EB4CBE667AF33D71167E" ma:contentTypeVersion="3" ma:contentTypeDescription="Create a new document." ma:contentTypeScope="" ma:versionID="40765f1e47717a1969b3d26f47aa1f88">
  <xsd:schema xmlns:xsd="http://www.w3.org/2001/XMLSchema" xmlns:xs="http://www.w3.org/2001/XMLSchema" xmlns:p="http://schemas.microsoft.com/office/2006/metadata/properties" xmlns:ns1="http://schemas.microsoft.com/sharepoint/v3" targetNamespace="http://schemas.microsoft.com/office/2006/metadata/properties" ma:root="true" ma:fieldsID="b665880aa3952302b15396eac48c336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3940A22-C3DE-4A6F-A116-4ABA38C40261}"/>
</file>

<file path=customXml/itemProps2.xml><?xml version="1.0" encoding="utf-8"?>
<ds:datastoreItem xmlns:ds="http://schemas.openxmlformats.org/officeDocument/2006/customXml" ds:itemID="{68DB9AB8-FB3B-4CC3-ACE2-A506F8A54CCB}">
  <ds:schemaRefs>
    <ds:schemaRef ds:uri="http://schemas.microsoft.com/sharepoint/v3/contenttype/forms"/>
  </ds:schemaRefs>
</ds:datastoreItem>
</file>

<file path=customXml/itemProps3.xml><?xml version="1.0" encoding="utf-8"?>
<ds:datastoreItem xmlns:ds="http://schemas.openxmlformats.org/officeDocument/2006/customXml" ds:itemID="{FA24C666-8C97-4528-9D52-E056952681B9}">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Retirement Planner</vt:lpstr>
      <vt:lpstr>'Retirement Planner'!Print_Area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Retirement Saving, Income and Asset Calculator</dc:title>
  <dc:creator>Roy Arnott</dc:creator>
  <cp:lastModifiedBy>Mashinini, Khosi (ARD)</cp:lastModifiedBy>
  <cp:lastPrinted>2016-09-07T21:03:22Z</cp:lastPrinted>
  <dcterms:created xsi:type="dcterms:W3CDTF">2013-10-30T18:43:08Z</dcterms:created>
  <dcterms:modified xsi:type="dcterms:W3CDTF">2022-10-28T16:52:29Z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0x01010007C3257931C4EB4CBE667AF33D71167E</vt:lpwstr>
  </property>
</Properties>
</file>