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P:\D03\Farm Management\1. Cost of Production\1.2. Forages\Forage Calculators\2026 DRAFT\"/>
    </mc:Choice>
  </mc:AlternateContent>
  <xr:revisionPtr revIDLastSave="0" documentId="8_{95DB743D-1A5F-4508-B8B3-034BAA6F50F7}" xr6:coauthVersionLast="47" xr6:coauthVersionMax="47" xr10:uidLastSave="{00000000-0000-0000-0000-000000000000}"/>
  <workbookProtection workbookPassword="C6A6" lockStructure="1"/>
  <bookViews>
    <workbookView xWindow="-110" yWindow="-110" windowWidth="19420" windowHeight="10300" xr2:uid="{00000000-000D-0000-FFFF-FFFF00000000}"/>
  </bookViews>
  <sheets>
    <sheet name="Straw Calculator" sheetId="1" r:id="rId1"/>
  </sheets>
  <definedNames>
    <definedName name="_xlnm.Print_Area" localSheetId="0">'Straw Calculator'!$A$1:$M$69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 r="O24" i="1"/>
  <c r="K24" i="1"/>
  <c r="AC24" i="1" s="1"/>
  <c r="AD24" i="1" s="1"/>
  <c r="AE24" i="1" s="1"/>
  <c r="L24" i="1" s="1"/>
  <c r="H47" i="1" s="1"/>
  <c r="I47" i="1" s="1"/>
  <c r="G24" i="1"/>
  <c r="Z24" i="1" s="1"/>
  <c r="AA24" i="1" s="1"/>
  <c r="AB24" i="1" s="1"/>
  <c r="H24" i="1" s="1"/>
  <c r="H46" i="1" s="1"/>
  <c r="I46" i="1" s="1"/>
  <c r="C24" i="1"/>
  <c r="I51" i="1"/>
  <c r="H51" i="1"/>
  <c r="AF24" i="1"/>
  <c r="U24" i="1" s="1"/>
  <c r="M3" i="1"/>
  <c r="O23" i="1"/>
  <c r="AF23" i="1" s="1"/>
  <c r="U23" i="1" s="1"/>
  <c r="K23" i="1"/>
  <c r="AC23" i="1" s="1"/>
  <c r="AD23" i="1" s="1"/>
  <c r="AE23" i="1" s="1"/>
  <c r="L23" i="1" s="1"/>
  <c r="D47" i="1" s="1"/>
  <c r="E47" i="1" s="1"/>
  <c r="G23" i="1"/>
  <c r="Z23" i="1"/>
  <c r="AA23" i="1" s="1"/>
  <c r="AB23" i="1" s="1"/>
  <c r="H23" i="1" s="1"/>
  <c r="D46" i="1" s="1"/>
  <c r="E46" i="1" s="1"/>
  <c r="C23" i="1"/>
  <c r="E51" i="1"/>
  <c r="D51" i="1"/>
  <c r="O22" i="1"/>
  <c r="AF22" i="1"/>
  <c r="U22" i="1" s="1"/>
  <c r="K22" i="1"/>
  <c r="AC22" i="1"/>
  <c r="AD22" i="1" s="1"/>
  <c r="AE22" i="1" s="1"/>
  <c r="L22" i="1" s="1"/>
  <c r="L30" i="1" s="1"/>
  <c r="M30" i="1" s="1"/>
  <c r="G22" i="1"/>
  <c r="Z22" i="1" s="1"/>
  <c r="AA22" i="1" s="1"/>
  <c r="AB22" i="1" s="1"/>
  <c r="H22" i="1" s="1"/>
  <c r="L29" i="1" s="1"/>
  <c r="C22" i="1"/>
  <c r="M34" i="1"/>
  <c r="L34" i="1"/>
  <c r="I34" i="1"/>
  <c r="H34" i="1"/>
  <c r="D34" i="1"/>
  <c r="E34" i="1"/>
  <c r="B37" i="1"/>
  <c r="O21" i="1"/>
  <c r="AF21" i="1"/>
  <c r="AG21" i="1" s="1"/>
  <c r="AH21" i="1" s="1"/>
  <c r="P21" i="1" s="1"/>
  <c r="H31" i="1" s="1"/>
  <c r="I31" i="1" s="1"/>
  <c r="K21" i="1"/>
  <c r="AC21" i="1" s="1"/>
  <c r="AD21" i="1" s="1"/>
  <c r="AE21" i="1" s="1"/>
  <c r="L21" i="1" s="1"/>
  <c r="H30" i="1" s="1"/>
  <c r="I30" i="1" s="1"/>
  <c r="G21" i="1"/>
  <c r="Z21" i="1" s="1"/>
  <c r="T21" i="1" s="1"/>
  <c r="C21" i="1"/>
  <c r="O20" i="1"/>
  <c r="AF20" i="1"/>
  <c r="U20" i="1" s="1"/>
  <c r="K20" i="1"/>
  <c r="AC20" i="1"/>
  <c r="AD20" i="1" s="1"/>
  <c r="AE20" i="1" s="1"/>
  <c r="L20" i="1" s="1"/>
  <c r="D30" i="1" s="1"/>
  <c r="E30" i="1" s="1"/>
  <c r="G20" i="1"/>
  <c r="Z20" i="1"/>
  <c r="T20" i="1" s="1"/>
  <c r="C20" i="1"/>
  <c r="V20" i="1" l="1"/>
  <c r="W20" i="1" s="1"/>
  <c r="X20" i="1" s="1"/>
  <c r="Y20" i="1" s="1"/>
  <c r="D20" i="1" s="1"/>
  <c r="D28" i="1" s="1"/>
  <c r="AG24" i="1"/>
  <c r="AH24" i="1" s="1"/>
  <c r="P24" i="1" s="1"/>
  <c r="H48" i="1" s="1"/>
  <c r="I48" i="1" s="1"/>
  <c r="T24" i="1"/>
  <c r="V24" i="1" s="1"/>
  <c r="W24" i="1" s="1"/>
  <c r="X24" i="1" s="1"/>
  <c r="Y24" i="1" s="1"/>
  <c r="D24" i="1" s="1"/>
  <c r="AG22" i="1"/>
  <c r="AH22" i="1" s="1"/>
  <c r="P22" i="1" s="1"/>
  <c r="L31" i="1" s="1"/>
  <c r="M31" i="1" s="1"/>
  <c r="U21" i="1"/>
  <c r="V21" i="1" s="1"/>
  <c r="W21" i="1" s="1"/>
  <c r="X21" i="1" s="1"/>
  <c r="Y21" i="1" s="1"/>
  <c r="D21" i="1" s="1"/>
  <c r="AA21" i="1"/>
  <c r="AB21" i="1" s="1"/>
  <c r="H21" i="1" s="1"/>
  <c r="AA20" i="1"/>
  <c r="AB20" i="1" s="1"/>
  <c r="H20" i="1" s="1"/>
  <c r="D29" i="1" s="1"/>
  <c r="E29" i="1" s="1"/>
  <c r="AG23" i="1"/>
  <c r="AH23" i="1" s="1"/>
  <c r="P23" i="1" s="1"/>
  <c r="D48" i="1" s="1"/>
  <c r="E48" i="1" s="1"/>
  <c r="T23" i="1"/>
  <c r="V23" i="1" s="1"/>
  <c r="W23" i="1" s="1"/>
  <c r="X23" i="1" s="1"/>
  <c r="Y23" i="1" s="1"/>
  <c r="D23" i="1" s="1"/>
  <c r="T22" i="1"/>
  <c r="V22" i="1" s="1"/>
  <c r="W22" i="1" s="1"/>
  <c r="X22" i="1" s="1"/>
  <c r="Y22" i="1" s="1"/>
  <c r="D22" i="1" s="1"/>
  <c r="L28" i="1" s="1"/>
  <c r="AG20" i="1"/>
  <c r="AH20" i="1" s="1"/>
  <c r="P20" i="1" s="1"/>
  <c r="D31" i="1" s="1"/>
  <c r="E31" i="1" s="1"/>
  <c r="Q24" i="1" l="1"/>
  <c r="Q23" i="1"/>
  <c r="D45" i="1"/>
  <c r="D49" i="1" s="1"/>
  <c r="D52" i="1" s="1"/>
  <c r="Q21" i="1"/>
  <c r="H28" i="1"/>
  <c r="I28" i="1" s="1"/>
  <c r="Q22" i="1"/>
  <c r="H45" i="1"/>
  <c r="I45" i="1" s="1"/>
  <c r="I49" i="1" s="1"/>
  <c r="I52" i="1" s="1"/>
  <c r="M29" i="1"/>
  <c r="H29" i="1"/>
  <c r="I29" i="1" s="1"/>
  <c r="Q20" i="1"/>
  <c r="E28" i="1"/>
  <c r="E32" i="1" s="1"/>
  <c r="E35" i="1" s="1"/>
  <c r="D32" i="1"/>
  <c r="D35" i="1" s="1"/>
  <c r="M28" i="1"/>
  <c r="H32" i="1" l="1"/>
  <c r="H35" i="1" s="1"/>
  <c r="H37" i="1" s="1"/>
  <c r="H39" i="1" s="1"/>
  <c r="I32" i="1"/>
  <c r="I35" i="1" s="1"/>
  <c r="I37" i="1" s="1"/>
  <c r="I39" i="1" s="1"/>
  <c r="M32" i="1"/>
  <c r="M35" i="1" s="1"/>
  <c r="M37" i="1" s="1"/>
  <c r="M39" i="1" s="1"/>
  <c r="E45" i="1"/>
  <c r="E49" i="1" s="1"/>
  <c r="E52" i="1" s="1"/>
  <c r="E54" i="1" s="1"/>
  <c r="E56" i="1" s="1"/>
  <c r="L32" i="1"/>
  <c r="L35" i="1" s="1"/>
  <c r="L37" i="1" s="1"/>
  <c r="L39" i="1" s="1"/>
  <c r="H49" i="1"/>
  <c r="H52" i="1" s="1"/>
  <c r="H54" i="1" s="1"/>
  <c r="H56" i="1" s="1"/>
  <c r="E37" i="1"/>
  <c r="E39" i="1" s="1"/>
  <c r="D37" i="1"/>
  <c r="D39" i="1" s="1"/>
  <c r="I54" i="1"/>
  <c r="I56" i="1" s="1"/>
  <c r="D54" i="1"/>
  <c r="D56" i="1" s="1"/>
</calcChain>
</file>

<file path=xl/sharedStrings.xml><?xml version="1.0" encoding="utf-8"?>
<sst xmlns="http://schemas.openxmlformats.org/spreadsheetml/2006/main" count="106" uniqueCount="62">
  <si>
    <t>$/bale</t>
  </si>
  <si>
    <t>lbs/ton</t>
  </si>
  <si>
    <t>$/ton</t>
  </si>
  <si>
    <t>Average round bale weight (lbs)</t>
  </si>
  <si>
    <t xml:space="preserve">Producer Markup </t>
  </si>
  <si>
    <t>Bulk Price</t>
  </si>
  <si>
    <t>Nitrogen</t>
  </si>
  <si>
    <t>Sulphur</t>
  </si>
  <si>
    <t>Fertilizer Type</t>
  </si>
  <si>
    <t>$/tonne</t>
  </si>
  <si>
    <t>Nitrogen: (urea) 46-0-0</t>
  </si>
  <si>
    <t>Phosphorus:   11-52-0</t>
  </si>
  <si>
    <t>Potash:   0-0-60</t>
  </si>
  <si>
    <t>Sulphur:   20.5-0-0-24</t>
  </si>
  <si>
    <t>Phosphorus</t>
  </si>
  <si>
    <t>Potash</t>
  </si>
  <si>
    <t>Total</t>
  </si>
  <si>
    <t xml:space="preserve">blend </t>
  </si>
  <si>
    <t>blend</t>
  </si>
  <si>
    <t>N phos</t>
  </si>
  <si>
    <t>Crop</t>
  </si>
  <si>
    <t>lbs</t>
  </si>
  <si>
    <t>N lbs</t>
  </si>
  <si>
    <t>N MT</t>
  </si>
  <si>
    <t>N cost</t>
  </si>
  <si>
    <t>N  sul1</t>
  </si>
  <si>
    <t>N urea</t>
  </si>
  <si>
    <t>phos lbs</t>
  </si>
  <si>
    <t>phos MT</t>
  </si>
  <si>
    <t>phos cost</t>
  </si>
  <si>
    <t>potash</t>
  </si>
  <si>
    <t>pot MT</t>
  </si>
  <si>
    <t>pot cost</t>
  </si>
  <si>
    <t>sul 1 lbs</t>
  </si>
  <si>
    <t>sul 1 MT</t>
  </si>
  <si>
    <t>sul 1 cost</t>
  </si>
  <si>
    <t>Baling - custom rate ($/bale)</t>
  </si>
  <si>
    <t>Corn Stover</t>
  </si>
  <si>
    <t>Peas</t>
  </si>
  <si>
    <t>HIDE</t>
  </si>
  <si>
    <t>Phosphate</t>
  </si>
  <si>
    <t>Potassium</t>
  </si>
  <si>
    <t>Sulfur</t>
  </si>
  <si>
    <t>Baling Cost</t>
  </si>
  <si>
    <t>Total Straw Value</t>
  </si>
  <si>
    <t>SubTotal Straw Cost</t>
  </si>
  <si>
    <t>Pea Straw</t>
  </si>
  <si>
    <t>(Risk, management, and profit margin)</t>
  </si>
  <si>
    <t>Cereal</t>
  </si>
  <si>
    <t>Cereal Straw</t>
  </si>
  <si>
    <t>Canola Straw</t>
  </si>
  <si>
    <t>Canola</t>
  </si>
  <si>
    <t>Printed:</t>
  </si>
  <si>
    <r>
      <t xml:space="preserve">*** Enter changes to </t>
    </r>
    <r>
      <rPr>
        <b/>
        <sz val="10"/>
        <color indexed="12"/>
        <rFont val="Arial"/>
        <family val="2"/>
      </rPr>
      <t>BLUE</t>
    </r>
    <r>
      <rPr>
        <b/>
        <sz val="10"/>
        <color indexed="48"/>
        <rFont val="Arial"/>
        <family val="2"/>
      </rPr>
      <t xml:space="preserve"> </t>
    </r>
    <r>
      <rPr>
        <b/>
        <sz val="10"/>
        <rFont val="Arial"/>
        <family val="2"/>
      </rPr>
      <t>values only ***</t>
    </r>
  </si>
  <si>
    <t>Nutrient Removal Cost</t>
  </si>
  <si>
    <t>Soybean Straw</t>
  </si>
  <si>
    <t>soybean</t>
  </si>
  <si>
    <t>Straw Cost Calculator - Based on Nutrient Removal</t>
  </si>
  <si>
    <t>. . . . . . . . . . . . . . . . . . . . . . . . . . . . . . . . . . . . . . . . . . . . . . . . . . . . . .</t>
  </si>
  <si>
    <t>Straw Value</t>
  </si>
  <si>
    <r>
      <t>Note:</t>
    </r>
    <r>
      <rPr>
        <sz val="10"/>
        <rFont val="Arial"/>
        <family val="2"/>
      </rPr>
      <t xml:space="preserve"> This budget is only a guide and is not intended to be an in-depth study of the cost of production of this industry. The calculated values are based on a range of nutrient lbs/ton and do not necessarily represent the average straw values in Manitoba. Users are advised to test their straw for accurante values. Interpretation and utilization of this information is the responsibility of the user. Please note the removal of potassium is often not credited on clay soils as there is a natural abundance of this nutrient. However on sandy soils which are often depleted in potassium, straw removal can impact future grain yields if a potassium replacement is not made. For more information, please refer to:</t>
    </r>
  </si>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</sst>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4" formatCode="_-&quot;$&quot;* #,##0.00_-;\-&quot;$&quot;* #,##0.00_-;_-&quot;$&quot;* &quot;-&quot;??_-;_-@_-"/>
    <numFmt numFmtId="164" formatCode="&quot;$&quot;#,##0.00"/>
    <numFmt numFmtId="165" formatCode="0.0"/>
    <numFmt numFmtId="166" formatCode="&quot;$&quot;#,##0"/>
    <numFmt numFmtId="167" formatCode="&quot;$&quot;#,##0.000"/>
    <numFmt numFmtId="168" formatCode="&quot;$&quot;#,##0.00_);[Red]\-&quot;$&quot;#,##0.00"/>
  </numFmts>
  <fonts count="27" x14ac:knownFonts="1">
    <font>
      <sz val="10"/>
      <name val="Arial"/>
    </font>
    <font>
      <sz val="12"/>
      <name val="Arial"/>
      <family val="2"/>
    </font>
    <font>
      <b/>
      <sz val="12"/>
      <name val="Arial"/>
      <family val="2"/>
    </font>
    <font>
      <u/>
      <sz val="12"/>
      <name val="Arial"/>
      <family val="2"/>
    </font>
    <font>
      <sz val="12"/>
      <name val="Arial"/>
      <family val="2"/>
    </font>
    <font>
      <sz val="10"/>
      <name val="Arial"/>
      <family val="2"/>
    </font>
    <font>
      <b/>
      <sz val="12"/>
      <name val="Arial"/>
      <family val="2"/>
    </font>
    <font>
      <b/>
      <u/>
      <sz val="12"/>
      <name val="Arial"/>
      <family val="2"/>
    </font>
    <font>
      <b/>
      <sz val="12"/>
      <color indexed="12"/>
      <name val="Arial"/>
      <family val="2"/>
    </font>
    <font>
      <b/>
      <sz val="10"/>
      <name val="Arial"/>
      <family val="2"/>
    </font>
    <font>
      <sz val="14"/>
      <name val="Arial"/>
      <family val="2"/>
    </font>
    <font>
      <sz val="8"/>
      <name val="Arial"/>
      <family val="2"/>
    </font>
    <font>
      <b/>
      <sz val="10"/>
      <color indexed="12"/>
      <name val="Arial"/>
      <family val="2"/>
    </font>
    <font>
      <sz val="10"/>
      <name val="Arial"/>
      <family val="2"/>
    </font>
    <font>
      <b/>
      <sz val="11"/>
      <name val="Arial"/>
      <family val="2"/>
    </font>
    <font>
      <sz val="11"/>
      <name val="Arial"/>
      <family val="2"/>
    </font>
    <font>
      <b/>
      <sz val="12"/>
      <color indexed="50"/>
      <name val="Arial"/>
      <family val="2"/>
    </font>
    <font>
      <b/>
      <sz val="10"/>
      <color indexed="48"/>
      <name val="Arial"/>
      <family val="2"/>
    </font>
    <font>
      <u/>
      <sz val="11"/>
      <color theme="10"/>
      <name val="Calibri"/>
      <family val="2"/>
    </font>
    <font>
      <b/>
      <sz val="12"/>
      <color rgb="FF0000FF"/>
      <name val="Arial"/>
      <family val="2"/>
    </font>
    <font>
      <sz val="11"/>
      <color theme="1"/>
      <name val="Arial"/>
      <family val="2"/>
    </font>
    <font>
      <sz val="22"/>
      <color theme="1"/>
      <name val="Arial"/>
      <family val="2"/>
    </font>
    <font>
      <b/>
      <sz val="16"/>
      <color theme="1"/>
      <name val="Arial"/>
      <family val="2"/>
    </font>
    <font>
      <sz val="8"/>
      <color theme="1"/>
      <name val="Arial"/>
      <family val="2"/>
    </font>
    <font>
      <b/>
      <sz val="11"/>
      <color theme="1"/>
      <name val="Arial"/>
      <family val="2"/>
    </font>
    <font>
      <b/>
      <u/>
      <sz val="11"/>
      <color theme="10"/>
      <name val="Arial"/>
      <family val="2"/>
    </font>
    <font>
      <b/>
      <u/>
      <sz val="11"/>
      <color rgb="FF0000FF"/>
      <name val="Arial"/>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44" fontId="13" fillId="0" borderId="0" applyFont="0" applyFill="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5" fillId="0" borderId="0">
      <alignment vertical="top"/>
    </xf>
    <xf numFmtId="164" fontId="4" fillId="0" borderId="0">
      <alignment vertical="top"/>
    </xf>
  </cellStyleXfs>
  <cellXfs count="75">
    <xf numFmtId="0" fontId="0" fillId="0" borderId="0" xfId="0"/>
    <xf numFmtId="0" fontId="4" fillId="0" borderId="0" xfId="0" applyFont="1"/>
    <xf numFmtId="0" fontId="1" fillId="0" borderId="0" xfId="0" applyFont="1"/>
    <xf numFmtId="0" fontId="6" fillId="0" borderId="0" xfId="0" applyFont="1"/>
    <xf numFmtId="0" fontId="7" fillId="0" borderId="0" xfId="0" applyFont="1" applyAlignment="1">
      <alignment horizontal="center"/>
    </xf>
    <xf numFmtId="0" fontId="2" fillId="0" borderId="0" xfId="0" applyFont="1"/>
    <xf numFmtId="3" fontId="8" fillId="0" borderId="0" xfId="0" applyNumberFormat="1" applyFont="1" applyProtection="1">
      <protection locked="0"/>
    </xf>
    <xf numFmtId="9" fontId="8" fillId="0" borderId="0" xfId="0" applyNumberFormat="1" applyFont="1" applyProtection="1">
      <protection locked="0"/>
    </xf>
    <xf numFmtId="164" fontId="15" fillId="0" borderId="0" xfId="5" applyFont="1">
      <alignment vertical="top"/>
    </xf>
    <xf numFmtId="164" fontId="1" fillId="0" borderId="0" xfId="0" applyNumberFormat="1" applyFont="1"/>
    <xf numFmtId="164" fontId="2" fillId="0" borderId="0" xfId="0" applyNumberFormat="1" applyFont="1"/>
    <xf numFmtId="0" fontId="1" fillId="0" borderId="0" xfId="4" applyFont="1" applyAlignment="1"/>
    <xf numFmtId="0" fontId="2" fillId="0" borderId="0" xfId="4" applyFont="1" applyAlignment="1">
      <alignment horizontal="center"/>
    </xf>
    <xf numFmtId="0" fontId="7" fillId="0" borderId="0" xfId="4" applyFont="1" applyAlignment="1"/>
    <xf numFmtId="0" fontId="7" fillId="0" borderId="0" xfId="4" applyFont="1" applyAlignment="1">
      <alignment horizontal="center"/>
    </xf>
    <xf numFmtId="0" fontId="7" fillId="0" borderId="0" xfId="4" applyFont="1" applyAlignment="1">
      <alignment horizontal="right"/>
    </xf>
    <xf numFmtId="0" fontId="16" fillId="0" borderId="0" xfId="4" applyFont="1" applyAlignment="1"/>
    <xf numFmtId="167" fontId="2" fillId="0" borderId="0" xfId="4" applyNumberFormat="1" applyFont="1" applyAlignment="1"/>
    <xf numFmtId="7" fontId="1" fillId="0" borderId="0" xfId="4" applyNumberFormat="1" applyFont="1" applyAlignment="1"/>
    <xf numFmtId="9" fontId="8" fillId="0" borderId="0" xfId="4" applyNumberFormat="1" applyFont="1" applyAlignment="1" applyProtection="1">
      <protection locked="0"/>
    </xf>
    <xf numFmtId="44" fontId="8" fillId="0" borderId="0" xfId="1" applyFont="1" applyFill="1" applyAlignment="1" applyProtection="1">
      <alignment horizontal="right" vertical="justify"/>
    </xf>
    <xf numFmtId="7" fontId="1" fillId="0" borderId="0" xfId="4" applyNumberFormat="1" applyFont="1" applyAlignment="1">
      <alignment horizontal="center"/>
    </xf>
    <xf numFmtId="0" fontId="1" fillId="2" borderId="0" xfId="4" applyFont="1" applyFill="1" applyAlignment="1"/>
    <xf numFmtId="7" fontId="1" fillId="2" borderId="0" xfId="4" applyNumberFormat="1" applyFont="1" applyFill="1" applyAlignment="1"/>
    <xf numFmtId="0" fontId="1" fillId="2" borderId="0" xfId="0" applyFont="1" applyFill="1"/>
    <xf numFmtId="0" fontId="7" fillId="2" borderId="0" xfId="0" applyFont="1" applyFill="1" applyAlignment="1">
      <alignment horizontal="center"/>
    </xf>
    <xf numFmtId="0" fontId="2" fillId="0" borderId="0" xfId="0" quotePrefix="1" applyFont="1" applyAlignment="1">
      <alignment horizontal="left"/>
    </xf>
    <xf numFmtId="166" fontId="19" fillId="0" borderId="0" xfId="0" applyNumberFormat="1" applyFont="1" applyAlignment="1" applyProtection="1">
      <alignment horizontal="center"/>
      <protection locked="0"/>
    </xf>
    <xf numFmtId="7" fontId="1" fillId="0" borderId="0" xfId="0" applyNumberFormat="1" applyFont="1"/>
    <xf numFmtId="7" fontId="7" fillId="0" borderId="0" xfId="0" applyNumberFormat="1" applyFont="1"/>
    <xf numFmtId="165" fontId="8" fillId="0" borderId="0" xfId="0" applyNumberFormat="1" applyFont="1" applyAlignment="1" applyProtection="1">
      <alignment horizontal="right"/>
      <protection locked="0"/>
    </xf>
    <xf numFmtId="7" fontId="3" fillId="0" borderId="0" xfId="0" applyNumberFormat="1" applyFont="1"/>
    <xf numFmtId="164" fontId="3" fillId="0" borderId="0" xfId="0" applyNumberFormat="1" applyFont="1"/>
    <xf numFmtId="0" fontId="1" fillId="0" borderId="0" xfId="0" applyFont="1" applyAlignment="1">
      <alignment horizontal="left" indent="2"/>
    </xf>
    <xf numFmtId="165" fontId="2" fillId="2" borderId="0" xfId="0" applyNumberFormat="1" applyFont="1" applyFill="1" applyProtection="1">
      <protection locked="0"/>
    </xf>
    <xf numFmtId="0" fontId="2" fillId="2" borderId="0" xfId="4" applyFont="1" applyFill="1" applyAlignment="1">
      <alignment horizontal="center"/>
    </xf>
    <xf numFmtId="0" fontId="1" fillId="2" borderId="1" xfId="4" applyFont="1" applyFill="1" applyBorder="1" applyAlignment="1"/>
    <xf numFmtId="0" fontId="1" fillId="2" borderId="2" xfId="4" applyFont="1" applyFill="1" applyBorder="1" applyAlignment="1"/>
    <xf numFmtId="0" fontId="1" fillId="2" borderId="3" xfId="4" applyFont="1" applyFill="1" applyBorder="1" applyAlignment="1"/>
    <xf numFmtId="0" fontId="1" fillId="2" borderId="4" xfId="4" applyFont="1" applyFill="1" applyBorder="1" applyAlignment="1"/>
    <xf numFmtId="0" fontId="7" fillId="2" borderId="0" xfId="4" applyFont="1" applyFill="1" applyAlignment="1"/>
    <xf numFmtId="0" fontId="7" fillId="2" borderId="0" xfId="4" applyFont="1" applyFill="1" applyAlignment="1">
      <alignment horizontal="right"/>
    </xf>
    <xf numFmtId="0" fontId="1" fillId="2" borderId="5" xfId="4" applyFont="1" applyFill="1" applyBorder="1" applyAlignment="1"/>
    <xf numFmtId="0" fontId="1" fillId="2" borderId="0" xfId="4" applyFont="1" applyFill="1" applyAlignment="1">
      <alignment horizontal="right"/>
    </xf>
    <xf numFmtId="0" fontId="1" fillId="2" borderId="6" xfId="4" applyFont="1" applyFill="1" applyBorder="1" applyAlignment="1"/>
    <xf numFmtId="0" fontId="1" fillId="2" borderId="7" xfId="4" applyFont="1" applyFill="1" applyBorder="1" applyAlignment="1"/>
    <xf numFmtId="168" fontId="2" fillId="2" borderId="0" xfId="0" applyNumberFormat="1" applyFont="1" applyFill="1"/>
    <xf numFmtId="164" fontId="2" fillId="2" borderId="0" xfId="0" applyNumberFormat="1" applyFont="1" applyFill="1"/>
    <xf numFmtId="0" fontId="20" fillId="0" borderId="0" xfId="0" applyFont="1"/>
    <xf numFmtId="0" fontId="20" fillId="0" borderId="0" xfId="0" applyFont="1" applyAlignment="1">
      <alignment horizontal="center"/>
    </xf>
    <xf numFmtId="0" fontId="21" fillId="0" borderId="0" xfId="0" applyFont="1"/>
    <xf numFmtId="0" fontId="22" fillId="0" borderId="0" xfId="0" applyFont="1"/>
    <xf numFmtId="0" fontId="23" fillId="0" borderId="0" xfId="0" applyFont="1" applyAlignment="1">
      <alignment horizontal="right"/>
    </xf>
    <xf numFmtId="14" fontId="11" fillId="0" borderId="0" xfId="0" applyNumberFormat="1" applyFont="1" applyAlignment="1">
      <alignment horizontal="right"/>
    </xf>
    <xf numFmtId="0" fontId="24" fillId="0" borderId="0" xfId="0" applyFont="1"/>
    <xf numFmtId="0" fontId="9" fillId="0" borderId="0" xfId="0" applyFont="1"/>
    <xf numFmtId="0" fontId="0" fillId="0" borderId="8" xfId="0" applyBorder="1"/>
    <xf numFmtId="3" fontId="10" fillId="0" borderId="0" xfId="0" applyNumberFormat="1" applyFont="1"/>
    <xf numFmtId="165" fontId="0" fillId="0" borderId="0" xfId="0" applyNumberFormat="1"/>
    <xf numFmtId="164" fontId="0" fillId="0" borderId="0" xfId="0" applyNumberFormat="1"/>
    <xf numFmtId="0" fontId="24" fillId="0" borderId="9" xfId="0" applyFont="1" applyBorder="1" applyAlignment="1">
      <alignment horizontal="left" vertical="center"/>
    </xf>
    <xf numFmtId="0" fontId="0" fillId="0" borderId="9" xfId="0" applyBorder="1"/>
    <xf numFmtId="164" fontId="25" fillId="0" borderId="0" xfId="2" applyNumberFormat="1" applyFont="1" applyProtection="1">
      <alignment vertical="top"/>
      <protection locked="0"/>
    </xf>
    <xf numFmtId="164" fontId="15" fillId="0" borderId="0" xfId="5" applyFont="1" applyProtection="1">
      <alignment vertical="top"/>
      <protection locked="0"/>
    </xf>
    <xf numFmtId="0" fontId="14" fillId="0" borderId="0" xfId="0" applyFont="1"/>
    <xf numFmtId="0" fontId="15" fillId="0" borderId="0" xfId="0" applyFont="1"/>
    <xf numFmtId="164" fontId="7" fillId="0" borderId="0" xfId="0" applyNumberFormat="1" applyFont="1"/>
    <xf numFmtId="3" fontId="9" fillId="0" borderId="0" xfId="0" applyNumberFormat="1" applyFont="1" applyAlignment="1">
      <alignment vertical="top" wrapText="1"/>
    </xf>
    <xf numFmtId="0" fontId="26" fillId="0" borderId="0" xfId="0" applyFont="1" applyAlignment="1">
      <alignment horizontal="left" vertical="center"/>
    </xf>
    <xf numFmtId="7" fontId="8" fillId="0" borderId="0" xfId="0" applyNumberFormat="1" applyFont="1" applyProtection="1">
      <protection locked="0"/>
    </xf>
    <xf numFmtId="166" fontId="19" fillId="0" borderId="0" xfId="0" applyNumberFormat="1" applyFont="1" applyAlignment="1" applyProtection="1">
      <alignment horizontal="right"/>
      <protection locked="0"/>
    </xf>
    <xf numFmtId="0" fontId="24" fillId="0" borderId="8" xfId="0" applyFont="1" applyBorder="1" applyAlignment="1">
      <alignment horizontal="right"/>
    </xf>
    <xf numFmtId="3" fontId="9" fillId="0" borderId="0" xfId="0" applyNumberFormat="1" applyFont="1" applyAlignment="1">
      <alignment horizontal="left" vertical="top" wrapText="1"/>
    </xf>
    <xf numFmtId="0" fontId="2" fillId="0" borderId="10" xfId="0" applyFont="1" applyBorder="1" applyAlignment="1">
      <alignment horizontal="center"/>
    </xf>
    <xf numFmtId="0" fontId="2" fillId="2" borderId="0" xfId="4" applyFont="1" applyFill="1" applyAlignment="1">
      <alignment horizontal="center"/>
    </xf>
  </cellXfs>
  <cellStyles count="6">
    <cellStyle name="Currency" xfId="1" builtinId="4"/>
    <cellStyle name="Hyperlink" xfId="2" builtinId="8"/>
    <cellStyle name="Hyperlink 2" xfId="3" xr:uid="{00000000-0005-0000-0000-000002000000}"/>
    <cellStyle name="Normal" xfId="0" builtinId="0"/>
    <cellStyle name="Normal 2" xfId="4" xr:uid="{00000000-0005-0000-0000-000004000000}"/>
    <cellStyle name="Normal_Farrow-Wean 500"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mb.ca/agriculture/farm-management/farm-business-management-contacts.html" TargetMode="External"/><Relationship Id="rId2" Type="http://schemas.openxmlformats.org/officeDocument/2006/relationships/hyperlink" Target="https://www.gov.mb.ca/agriculture/crops/soil-fertility/soil-fertility-guide/index.html" TargetMode="External"/><Relationship Id="rId1" Type="http://schemas.openxmlformats.org/officeDocument/2006/relationships/image" Target="../media/image1.jpe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9</xdr:col>
      <xdr:colOff>123825</xdr:colOff>
      <xdr:row>0</xdr:row>
      <xdr:rowOff>161925</xdr:rowOff>
    </xdr:from>
    <xdr:to>
      <xdr:col>12</xdr:col>
      <xdr:colOff>495300</xdr:colOff>
      <xdr:row>1</xdr:row>
      <xdr:rowOff>152400</xdr:rowOff>
    </xdr:to>
    <xdr:pic>
      <xdr:nvPicPr>
        <xdr:cNvPr id="2220" name="Picture 2" descr="Government of Manitoba logo.">
          <a:extLst>
            <a:ext uri="{FF2B5EF4-FFF2-40B4-BE49-F238E27FC236}">
              <a16:creationId xmlns:a16="http://schemas.microsoft.com/office/drawing/2014/main" id="{00000000-0008-0000-0000-0000AC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3075" y="161925"/>
          <a:ext cx="17716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61</xdr:row>
      <xdr:rowOff>133350</xdr:rowOff>
    </xdr:from>
    <xdr:to>
      <xdr:col>6</xdr:col>
      <xdr:colOff>447676</xdr:colOff>
      <xdr:row>63</xdr:row>
      <xdr:rowOff>0</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857375" y="10725150"/>
          <a:ext cx="2276476"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CA" sz="1100"/>
            <a:t> </a:t>
          </a:r>
          <a:r>
            <a:rPr lang="en-CA" sz="1100" b="1" i="1">
              <a:solidFill>
                <a:srgbClr val="0000FF"/>
              </a:solidFill>
            </a:rPr>
            <a:t>Manitoba Soil Fertility Guide</a:t>
          </a:r>
          <a:r>
            <a:rPr lang="en-CA" sz="1100"/>
            <a:t>.</a:t>
          </a:r>
        </a:p>
      </xdr:txBody>
    </xdr:sp>
    <xdr:clientData/>
  </xdr:twoCellAnchor>
  <xdr:twoCellAnchor editAs="oneCell">
    <xdr:from>
      <xdr:col>1</xdr:col>
      <xdr:colOff>1438274</xdr:colOff>
      <xdr:row>64</xdr:row>
      <xdr:rowOff>50249</xdr:rowOff>
    </xdr:from>
    <xdr:to>
      <xdr:col>9</xdr:col>
      <xdr:colOff>28574</xdr:colOff>
      <xdr:row>69</xdr:row>
      <xdr:rowOff>0</xdr:rowOff>
    </xdr:to>
    <xdr:pic>
      <xdr:nvPicPr>
        <xdr:cNvPr id="7" name="Picture 6" descr="Contact Us information including a link to Farm Management Specialists listing.">
          <a:hlinkClick xmlns:r="http://schemas.openxmlformats.org/officeDocument/2006/relationships" r:id="rId3" tooltip="Click here for a list of Farm Management contacts."/>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19249" y="11432624"/>
          <a:ext cx="3838575" cy="85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73"/>
  <sheetViews>
    <sheetView tabSelected="1" zoomScaleNormal="100" workbookViewId="0"/>
  </sheetViews>
  <sheetFormatPr defaultColWidth="9.08984375" defaultRowHeight="12.5" x14ac:dyDescent="0.25"/>
  <cols>
    <col min="1" max="1" width="2.6328125" customWidth="1"/>
    <col min="2" max="2" width="23.6328125" customWidth="1"/>
    <col min="3" max="5" width="8.6328125" customWidth="1"/>
    <col min="6" max="6" width="2.6328125" customWidth="1"/>
    <col min="7" max="9" width="8.6328125" customWidth="1"/>
    <col min="10" max="10" width="2.6328125" customWidth="1"/>
    <col min="12" max="12" width="9.6328125" customWidth="1"/>
    <col min="14" max="14" width="2.6328125" customWidth="1"/>
    <col min="18" max="18" width="2.6328125" customWidth="1"/>
    <col min="20" max="20" width="10.90625" bestFit="1" customWidth="1"/>
  </cols>
  <sheetData>
    <row r="1" spans="1:21" ht="27" customHeight="1" x14ac:dyDescent="0.3">
      <c r="A1" s="48"/>
      <c r="B1" s="48"/>
      <c r="C1" s="49"/>
      <c r="D1" s="49"/>
      <c r="E1" s="49"/>
      <c r="F1" s="49"/>
    </row>
    <row r="2" spans="1:21" ht="27.5" x14ac:dyDescent="0.55000000000000004">
      <c r="A2" s="50" t="s">
        <v>58</v>
      </c>
      <c r="B2" s="48"/>
      <c r="C2" s="49"/>
      <c r="D2" s="49"/>
      <c r="E2" s="49"/>
      <c r="F2" s="49"/>
    </row>
    <row r="3" spans="1:21" ht="20" x14ac:dyDescent="0.4">
      <c r="A3" s="51" t="s">
        <v>57</v>
      </c>
      <c r="B3" s="48"/>
      <c r="C3" s="49"/>
      <c r="D3" s="49"/>
      <c r="L3" s="52" t="s">
        <v>52</v>
      </c>
      <c r="M3" s="53">
        <f ca="1">TODAY()</f>
        <v>45964</v>
      </c>
    </row>
    <row r="4" spans="1:21" s="48" customFormat="1" ht="14" x14ac:dyDescent="0.3">
      <c r="A4" s="54"/>
      <c r="C4" s="55" t="s">
        <v>53</v>
      </c>
    </row>
    <row r="5" spans="1:21" x14ac:dyDescent="0.25">
      <c r="A5" s="56"/>
      <c r="B5" s="56"/>
      <c r="C5" s="56"/>
      <c r="D5" s="56"/>
      <c r="E5" s="56"/>
      <c r="F5" s="56"/>
      <c r="G5" s="56"/>
      <c r="H5" s="56"/>
      <c r="I5" s="56"/>
      <c r="J5" s="56"/>
      <c r="K5" s="56"/>
      <c r="L5" s="56"/>
      <c r="M5" s="56"/>
      <c r="N5" s="56"/>
      <c r="O5" s="56"/>
      <c r="P5" s="56"/>
      <c r="Q5" s="56"/>
      <c r="R5" s="56"/>
      <c r="S5" s="56"/>
      <c r="T5" s="56"/>
      <c r="U5" s="56"/>
    </row>
    <row r="7" spans="1:21" s="11" customFormat="1" ht="15.5" x14ac:dyDescent="0.35">
      <c r="E7" s="12" t="s">
        <v>5</v>
      </c>
      <c r="F7" s="12"/>
      <c r="H7" s="12"/>
      <c r="K7" s="12"/>
      <c r="N7" s="12"/>
    </row>
    <row r="8" spans="1:21" s="11" customFormat="1" ht="15.5" x14ac:dyDescent="0.35">
      <c r="B8" s="13" t="s">
        <v>8</v>
      </c>
      <c r="E8" s="14" t="s">
        <v>9</v>
      </c>
      <c r="F8" s="14"/>
      <c r="H8" s="14"/>
      <c r="J8" s="15"/>
      <c r="K8" s="14"/>
      <c r="L8" s="16"/>
      <c r="N8" s="14"/>
    </row>
    <row r="9" spans="1:21" s="11" customFormat="1" ht="15.5" x14ac:dyDescent="0.35">
      <c r="B9" s="11" t="s">
        <v>10</v>
      </c>
      <c r="E9" s="70">
        <v>830</v>
      </c>
      <c r="F9" s="27"/>
      <c r="H9" s="17"/>
      <c r="J9" s="18"/>
      <c r="K9" s="19"/>
      <c r="M9" s="20"/>
      <c r="N9" s="21"/>
    </row>
    <row r="10" spans="1:21" s="11" customFormat="1" ht="15.5" x14ac:dyDescent="0.35">
      <c r="B10" s="11" t="s">
        <v>11</v>
      </c>
      <c r="E10" s="70">
        <v>1300</v>
      </c>
      <c r="F10" s="27"/>
      <c r="H10" s="17"/>
      <c r="J10" s="18"/>
      <c r="K10" s="21"/>
      <c r="N10" s="21"/>
    </row>
    <row r="11" spans="1:21" s="11" customFormat="1" ht="15.5" x14ac:dyDescent="0.35">
      <c r="B11" s="11" t="s">
        <v>12</v>
      </c>
      <c r="E11" s="70">
        <v>660</v>
      </c>
      <c r="F11" s="27"/>
      <c r="H11" s="17"/>
      <c r="J11" s="18"/>
      <c r="K11" s="21"/>
      <c r="N11" s="21"/>
    </row>
    <row r="12" spans="1:21" s="11" customFormat="1" ht="15.5" x14ac:dyDescent="0.35">
      <c r="B12" s="11" t="s">
        <v>13</v>
      </c>
      <c r="E12" s="70">
        <v>600</v>
      </c>
      <c r="F12" s="27"/>
      <c r="H12" s="17"/>
      <c r="J12" s="18"/>
      <c r="K12" s="21"/>
      <c r="N12" s="19"/>
    </row>
    <row r="13" spans="1:21" s="11" customFormat="1" ht="15.5" x14ac:dyDescent="0.35"/>
    <row r="14" spans="1:21" ht="15.5" x14ac:dyDescent="0.35">
      <c r="B14" s="5" t="s">
        <v>36</v>
      </c>
      <c r="E14" s="69">
        <v>15</v>
      </c>
      <c r="G14" s="1"/>
      <c r="I14" s="1"/>
      <c r="J14" s="1"/>
    </row>
    <row r="15" spans="1:21" ht="15.5" x14ac:dyDescent="0.35">
      <c r="B15" s="26" t="s">
        <v>3</v>
      </c>
      <c r="E15" s="6">
        <v>900</v>
      </c>
      <c r="G15" s="1"/>
      <c r="I15" s="1"/>
      <c r="J15" s="1"/>
    </row>
    <row r="16" spans="1:21" ht="15.5" x14ac:dyDescent="0.35">
      <c r="B16" s="3" t="s">
        <v>4</v>
      </c>
      <c r="E16" s="7">
        <v>0.15</v>
      </c>
      <c r="G16" s="2" t="s">
        <v>47</v>
      </c>
      <c r="I16" s="2"/>
    </row>
    <row r="17" spans="1:34" ht="15.5" x14ac:dyDescent="0.35">
      <c r="B17" s="2"/>
      <c r="C17" s="1"/>
      <c r="G17" s="7"/>
      <c r="I17" s="2"/>
    </row>
    <row r="18" spans="1:34" s="22" customFormat="1" ht="15.5" hidden="1" x14ac:dyDescent="0.35">
      <c r="A18" s="22" t="s">
        <v>39</v>
      </c>
      <c r="C18" s="74" t="s">
        <v>6</v>
      </c>
      <c r="D18" s="74"/>
      <c r="G18" s="74" t="s">
        <v>14</v>
      </c>
      <c r="H18" s="74"/>
      <c r="K18" s="74" t="s">
        <v>15</v>
      </c>
      <c r="L18" s="74"/>
      <c r="O18" s="74" t="s">
        <v>7</v>
      </c>
      <c r="P18" s="74"/>
      <c r="Q18" s="35" t="s">
        <v>16</v>
      </c>
      <c r="T18" s="36" t="s">
        <v>17</v>
      </c>
      <c r="U18" s="37" t="s">
        <v>18</v>
      </c>
      <c r="V18" s="38" t="s">
        <v>18</v>
      </c>
      <c r="W18" s="36" t="s">
        <v>18</v>
      </c>
      <c r="X18" s="37" t="s">
        <v>18</v>
      </c>
      <c r="Y18" s="39" t="s">
        <v>18</v>
      </c>
      <c r="Z18" s="36" t="s">
        <v>18</v>
      </c>
      <c r="AA18" s="37" t="s">
        <v>18</v>
      </c>
      <c r="AB18" s="39" t="s">
        <v>18</v>
      </c>
      <c r="AC18" s="36" t="s">
        <v>17</v>
      </c>
      <c r="AD18" s="37" t="s">
        <v>18</v>
      </c>
      <c r="AE18" s="39" t="s">
        <v>18</v>
      </c>
      <c r="AF18" s="36" t="s">
        <v>17</v>
      </c>
      <c r="AG18" s="37" t="s">
        <v>18</v>
      </c>
      <c r="AH18" s="39" t="s">
        <v>18</v>
      </c>
    </row>
    <row r="19" spans="1:34" s="22" customFormat="1" ht="15.5" hidden="1" x14ac:dyDescent="0.35">
      <c r="B19" s="40" t="s">
        <v>20</v>
      </c>
      <c r="C19" s="41" t="s">
        <v>21</v>
      </c>
      <c r="D19" s="25" t="s">
        <v>2</v>
      </c>
      <c r="E19" s="41"/>
      <c r="F19" s="41"/>
      <c r="G19" s="41" t="s">
        <v>21</v>
      </c>
      <c r="H19" s="25" t="s">
        <v>2</v>
      </c>
      <c r="I19" s="41"/>
      <c r="J19" s="41"/>
      <c r="K19" s="41" t="s">
        <v>21</v>
      </c>
      <c r="L19" s="25" t="s">
        <v>2</v>
      </c>
      <c r="N19" s="41"/>
      <c r="O19" s="41" t="s">
        <v>21</v>
      </c>
      <c r="P19" s="25" t="s">
        <v>2</v>
      </c>
      <c r="Q19" s="25" t="s">
        <v>2</v>
      </c>
      <c r="T19" s="42" t="s">
        <v>19</v>
      </c>
      <c r="U19" s="43" t="s">
        <v>25</v>
      </c>
      <c r="V19" s="44" t="s">
        <v>26</v>
      </c>
      <c r="W19" s="42" t="s">
        <v>22</v>
      </c>
      <c r="X19" s="22" t="s">
        <v>23</v>
      </c>
      <c r="Y19" s="45" t="s">
        <v>24</v>
      </c>
      <c r="Z19" s="42" t="s">
        <v>27</v>
      </c>
      <c r="AA19" s="22" t="s">
        <v>28</v>
      </c>
      <c r="AB19" s="45" t="s">
        <v>29</v>
      </c>
      <c r="AC19" s="42" t="s">
        <v>30</v>
      </c>
      <c r="AD19" s="22" t="s">
        <v>31</v>
      </c>
      <c r="AE19" s="45" t="s">
        <v>32</v>
      </c>
      <c r="AF19" s="42" t="s">
        <v>33</v>
      </c>
      <c r="AG19" s="22" t="s">
        <v>34</v>
      </c>
      <c r="AH19" s="45" t="s">
        <v>35</v>
      </c>
    </row>
    <row r="20" spans="1:34" s="24" customFormat="1" ht="15.5" hidden="1" x14ac:dyDescent="0.35">
      <c r="B20" s="24" t="s">
        <v>48</v>
      </c>
      <c r="C20" s="34">
        <f>C28</f>
        <v>13.6</v>
      </c>
      <c r="D20" s="23">
        <f>Y20</f>
        <v>8.1146902124482594</v>
      </c>
      <c r="G20" s="34">
        <f>C29</f>
        <v>4.5</v>
      </c>
      <c r="H20" s="23">
        <f>AB20</f>
        <v>5.1029665245395988</v>
      </c>
      <c r="K20" s="34">
        <f>C30</f>
        <v>27.2</v>
      </c>
      <c r="L20" s="23">
        <f>AE20</f>
        <v>13.571622970153316</v>
      </c>
      <c r="O20" s="34">
        <f>C31</f>
        <v>3.2</v>
      </c>
      <c r="P20" s="23">
        <f>AH20</f>
        <v>3.6287761952281596</v>
      </c>
      <c r="Q20" s="46">
        <f>D20+H20+L20+P20</f>
        <v>30.418055902369336</v>
      </c>
      <c r="T20" s="24">
        <f>SUM(Z20*0.11)</f>
        <v>0.95192307692307687</v>
      </c>
      <c r="U20" s="24">
        <f>SUM(AF20*0.205)</f>
        <v>2.7333333333333334</v>
      </c>
      <c r="V20" s="24">
        <f>SUM(C20-(T20+U20))</f>
        <v>9.9147435897435905</v>
      </c>
      <c r="W20" s="24">
        <f>MAXA(0,(V20)/(0.46))</f>
        <v>21.553790412486066</v>
      </c>
      <c r="X20" s="24">
        <f>(W20)/2204.6</f>
        <v>9.7767351957207954E-3</v>
      </c>
      <c r="Y20" s="47">
        <f>SUM(X20*$E$9)</f>
        <v>8.1146902124482594</v>
      </c>
      <c r="Z20" s="24">
        <f>MAXA(0,G20/0.52)</f>
        <v>8.6538461538461533</v>
      </c>
      <c r="AA20" s="24">
        <f>(Z20)/2204.6</f>
        <v>3.9253588650304608E-3</v>
      </c>
      <c r="AB20" s="47">
        <f>SUM(AA20*$E$10)</f>
        <v>5.1029665245395988</v>
      </c>
      <c r="AC20" s="24">
        <f>SUM(K20/0.6)</f>
        <v>45.333333333333336</v>
      </c>
      <c r="AD20" s="24">
        <f>(AC20)/2204.6</f>
        <v>2.0563065106292903E-2</v>
      </c>
      <c r="AE20" s="47">
        <f>SUM(AD20*$E$11)</f>
        <v>13.571622970153316</v>
      </c>
      <c r="AF20" s="24">
        <f>MAXA(0,O20/0.24)</f>
        <v>13.333333333333334</v>
      </c>
      <c r="AG20" s="24">
        <f>(AF20)/2204.6</f>
        <v>6.0479603253802659E-3</v>
      </c>
      <c r="AH20" s="47">
        <f>SUM(AG20*$E$12)</f>
        <v>3.6287761952281596</v>
      </c>
    </row>
    <row r="21" spans="1:34" s="24" customFormat="1" ht="15.5" hidden="1" x14ac:dyDescent="0.35">
      <c r="B21" s="24" t="s">
        <v>38</v>
      </c>
      <c r="C21" s="34">
        <f>G28</f>
        <v>13.6</v>
      </c>
      <c r="D21" s="23">
        <f>Y21</f>
        <v>8.62005488220586</v>
      </c>
      <c r="G21" s="34">
        <f>G29</f>
        <v>3.6</v>
      </c>
      <c r="H21" s="23">
        <f>AB21</f>
        <v>4.0823732196316795</v>
      </c>
      <c r="K21" s="34">
        <f>G30</f>
        <v>45.4</v>
      </c>
      <c r="L21" s="23">
        <f>AE21</f>
        <v>22.652635398711784</v>
      </c>
      <c r="O21" s="34">
        <f>G31</f>
        <v>2.7</v>
      </c>
      <c r="P21" s="23">
        <f>AH21</f>
        <v>3.0617799147237599</v>
      </c>
      <c r="Q21" s="46">
        <f>D21+H21+L21+P21</f>
        <v>38.416843415273078</v>
      </c>
      <c r="T21" s="24">
        <f>SUM(Z21*0.11)</f>
        <v>0.76153846153846161</v>
      </c>
      <c r="U21" s="24">
        <f>SUM(AF21*0.205)</f>
        <v>2.3062500000000004</v>
      </c>
      <c r="V21" s="24">
        <f>SUM(C21-(T21+U21))</f>
        <v>10.532211538461539</v>
      </c>
      <c r="W21" s="24">
        <f>MAXA(0,(V21)/(0.46))</f>
        <v>22.896112040133779</v>
      </c>
      <c r="X21" s="24">
        <f>(W21)/2204.6</f>
        <v>1.0385608291814289E-2</v>
      </c>
      <c r="Y21" s="47">
        <f>SUM(X21*$E$9)</f>
        <v>8.62005488220586</v>
      </c>
      <c r="Z21" s="24">
        <f>MAXA(0,G21/0.52)</f>
        <v>6.9230769230769234</v>
      </c>
      <c r="AA21" s="24">
        <f>(Z21)/2204.6</f>
        <v>3.1402870920243689E-3</v>
      </c>
      <c r="AB21" s="47">
        <f>SUM(AA21*$E$10)</f>
        <v>4.0823732196316795</v>
      </c>
      <c r="AC21" s="24">
        <f>SUM(K21/0.6)</f>
        <v>75.666666666666671</v>
      </c>
      <c r="AD21" s="24">
        <f>(AC21)/2204.6</f>
        <v>3.4322174846533007E-2</v>
      </c>
      <c r="AE21" s="47">
        <f>SUM(AD21*$E$11)</f>
        <v>22.652635398711784</v>
      </c>
      <c r="AF21" s="24">
        <f>MAXA(0,O21/0.24)</f>
        <v>11.250000000000002</v>
      </c>
      <c r="AG21" s="24">
        <f>(AF21)/2204.6</f>
        <v>5.1029665245395997E-3</v>
      </c>
      <c r="AH21" s="47">
        <f>SUM(AG21*$E$12)</f>
        <v>3.0617799147237599</v>
      </c>
    </row>
    <row r="22" spans="1:34" s="24" customFormat="1" ht="15.5" hidden="1" x14ac:dyDescent="0.35">
      <c r="B22" s="24" t="s">
        <v>37</v>
      </c>
      <c r="C22" s="34">
        <f>K28</f>
        <v>22.7</v>
      </c>
      <c r="D22" s="23">
        <f>Y22</f>
        <v>15.28292014538164</v>
      </c>
      <c r="G22" s="34">
        <f>K29</f>
        <v>4.5</v>
      </c>
      <c r="H22" s="23">
        <f>AB22</f>
        <v>5.1029665245395988</v>
      </c>
      <c r="K22" s="34">
        <f>K30</f>
        <v>36.299999999999997</v>
      </c>
      <c r="L22" s="23">
        <f>AE22</f>
        <v>18.11212918443255</v>
      </c>
      <c r="O22" s="34">
        <f>K31</f>
        <v>3.6</v>
      </c>
      <c r="P22" s="23">
        <f>AH22</f>
        <v>4.0823732196316795</v>
      </c>
      <c r="Q22" s="46">
        <f>D22+H22+L22+P22</f>
        <v>42.580389073985465</v>
      </c>
      <c r="T22" s="24">
        <f>SUM(Z22*0.11)</f>
        <v>0.95192307692307687</v>
      </c>
      <c r="U22" s="24">
        <f>SUM(AF22*0.205)</f>
        <v>3.0750000000000002</v>
      </c>
      <c r="V22" s="24">
        <f>SUM(C22-(T22+U22))</f>
        <v>18.673076923076923</v>
      </c>
      <c r="W22" s="24">
        <f>MAXA(0,(V22)/(0.46))</f>
        <v>40.593645484949832</v>
      </c>
      <c r="X22" s="24">
        <f>(W22)/2204.6</f>
        <v>1.8413156801664627E-2</v>
      </c>
      <c r="Y22" s="47">
        <f>SUM(X22*$E$9)</f>
        <v>15.28292014538164</v>
      </c>
      <c r="Z22" s="24">
        <f>MAXA(0,G22/0.52)</f>
        <v>8.6538461538461533</v>
      </c>
      <c r="AA22" s="24">
        <f>(Z22)/2204.6</f>
        <v>3.9253588650304608E-3</v>
      </c>
      <c r="AB22" s="47">
        <f>SUM(AA22*$E$10)</f>
        <v>5.1029665245395988</v>
      </c>
      <c r="AC22" s="24">
        <f>SUM(K22/0.6)</f>
        <v>60.5</v>
      </c>
      <c r="AD22" s="24">
        <f>(AC22)/2204.6</f>
        <v>2.7442619976412955E-2</v>
      </c>
      <c r="AE22" s="47">
        <f>SUM(AD22*$E$11)</f>
        <v>18.11212918443255</v>
      </c>
      <c r="AF22" s="24">
        <f>MAXA(0,O22/0.24)</f>
        <v>15.000000000000002</v>
      </c>
      <c r="AG22" s="24">
        <f>(AF22)/2204.6</f>
        <v>6.8039553660527996E-3</v>
      </c>
      <c r="AH22" s="47">
        <f>SUM(AG22*$E$12)</f>
        <v>4.0823732196316795</v>
      </c>
    </row>
    <row r="23" spans="1:34" s="24" customFormat="1" ht="15.5" hidden="1" x14ac:dyDescent="0.35">
      <c r="B23" s="24" t="s">
        <v>51</v>
      </c>
      <c r="C23" s="34">
        <f>C45</f>
        <v>18.100000000000001</v>
      </c>
      <c r="D23" s="23">
        <f>Y23</f>
        <v>11.189112184708351</v>
      </c>
      <c r="G23" s="34">
        <f>C46</f>
        <v>6.4</v>
      </c>
      <c r="H23" s="23">
        <f>AB23</f>
        <v>7.2575523904563193</v>
      </c>
      <c r="K23" s="34">
        <f>C47</f>
        <v>27.2</v>
      </c>
      <c r="L23" s="23">
        <f>AE23</f>
        <v>13.571622970153316</v>
      </c>
      <c r="O23" s="34">
        <f>C48</f>
        <v>3.6</v>
      </c>
      <c r="P23" s="23">
        <f>AH23</f>
        <v>4.0823732196316795</v>
      </c>
      <c r="Q23" s="46">
        <f>D23+H23+L23+P23</f>
        <v>36.100660764949666</v>
      </c>
      <c r="T23" s="24">
        <f>SUM(Z23*0.11)</f>
        <v>1.3538461538461539</v>
      </c>
      <c r="U23" s="24">
        <f>SUM(AF23*0.205)</f>
        <v>3.0750000000000002</v>
      </c>
      <c r="V23" s="24">
        <f>SUM(C23-(T23+U23))</f>
        <v>13.671153846153848</v>
      </c>
      <c r="W23" s="24">
        <f>MAXA(0,(V23)/(0.46))</f>
        <v>29.719899665551843</v>
      </c>
      <c r="X23" s="24">
        <f>(W23)/2204.6</f>
        <v>1.3480858053865483E-2</v>
      </c>
      <c r="Y23" s="47">
        <f>SUM(X23*$E$9)</f>
        <v>11.189112184708351</v>
      </c>
      <c r="Z23" s="24">
        <f>MAXA(0,G23/0.52)</f>
        <v>12.307692307692308</v>
      </c>
      <c r="AA23" s="24">
        <f>(Z23)/2204.6</f>
        <v>5.5827326080433223E-3</v>
      </c>
      <c r="AB23" s="47">
        <f>SUM(AA23*$E$10)</f>
        <v>7.2575523904563193</v>
      </c>
      <c r="AC23" s="24">
        <f>SUM(K23/0.6)</f>
        <v>45.333333333333336</v>
      </c>
      <c r="AD23" s="24">
        <f>(AC23)/2204.6</f>
        <v>2.0563065106292903E-2</v>
      </c>
      <c r="AE23" s="47">
        <f>SUM(AD23*$E$11)</f>
        <v>13.571622970153316</v>
      </c>
      <c r="AF23" s="24">
        <f>MAXA(0,O23/0.24)</f>
        <v>15.000000000000002</v>
      </c>
      <c r="AG23" s="24">
        <f>(AF23)/2204.6</f>
        <v>6.8039553660527996E-3</v>
      </c>
      <c r="AH23" s="47">
        <f>SUM(AG23*$E$12)</f>
        <v>4.0823732196316795</v>
      </c>
    </row>
    <row r="24" spans="1:34" s="24" customFormat="1" ht="15.5" hidden="1" x14ac:dyDescent="0.35">
      <c r="B24" s="24" t="s">
        <v>56</v>
      </c>
      <c r="C24" s="34">
        <f>G45</f>
        <v>18.100000000000001</v>
      </c>
      <c r="D24" s="23">
        <f>Y24</f>
        <v>12.45888518442891</v>
      </c>
      <c r="G24" s="34">
        <f>G46</f>
        <v>2.7</v>
      </c>
      <c r="H24" s="23">
        <f>AB24</f>
        <v>3.0617799147237594</v>
      </c>
      <c r="K24" s="34">
        <f>G47</f>
        <v>13.6</v>
      </c>
      <c r="L24" s="23">
        <f>AE24</f>
        <v>6.7858114850766578</v>
      </c>
      <c r="O24" s="34">
        <f>G48</f>
        <v>2.7</v>
      </c>
      <c r="P24" s="23">
        <f>AH24</f>
        <v>3.0617799147237599</v>
      </c>
      <c r="Q24" s="46">
        <f>D24+H24+L24+P24</f>
        <v>25.368256498953087</v>
      </c>
      <c r="T24" s="24">
        <f>SUM(Z24*0.11)</f>
        <v>0.57115384615384623</v>
      </c>
      <c r="U24" s="24">
        <f>SUM(AF24*0.205)</f>
        <v>2.3062500000000004</v>
      </c>
      <c r="V24" s="24">
        <f>SUM(C24-(T24+U24))</f>
        <v>15.222596153846155</v>
      </c>
      <c r="W24" s="24">
        <f>MAXA(0,(V24)/(0.46))</f>
        <v>33.092600334448164</v>
      </c>
      <c r="X24" s="24">
        <f>(W24)/2204.6</f>
        <v>1.5010705041480615E-2</v>
      </c>
      <c r="Y24" s="47">
        <f>SUM(X24*$E$9)</f>
        <v>12.45888518442891</v>
      </c>
      <c r="Z24" s="24">
        <f>MAXA(0,G24/0.52)</f>
        <v>5.1923076923076925</v>
      </c>
      <c r="AA24" s="24">
        <f>(Z24)/2204.6</f>
        <v>2.3552153190182766E-3</v>
      </c>
      <c r="AB24" s="47">
        <f>SUM(AA24*$E$10)</f>
        <v>3.0617799147237594</v>
      </c>
      <c r="AC24" s="24">
        <f>SUM(K24/0.6)</f>
        <v>22.666666666666668</v>
      </c>
      <c r="AD24" s="24">
        <f>(AC24)/2204.6</f>
        <v>1.0281532553146452E-2</v>
      </c>
      <c r="AE24" s="47">
        <f>SUM(AD24*$E$11)</f>
        <v>6.7858114850766578</v>
      </c>
      <c r="AF24" s="24">
        <f>MAXA(0,O24/0.24)</f>
        <v>11.250000000000002</v>
      </c>
      <c r="AG24" s="24">
        <f>(AF24)/2204.6</f>
        <v>5.1029665245395997E-3</v>
      </c>
      <c r="AH24" s="47">
        <f>SUM(AG24*$E$12)</f>
        <v>3.0617799147237599</v>
      </c>
    </row>
    <row r="25" spans="1:34" ht="15" customHeight="1" thickBot="1" x14ac:dyDescent="0.4">
      <c r="C25" s="73" t="s">
        <v>49</v>
      </c>
      <c r="D25" s="73"/>
      <c r="E25" s="73"/>
      <c r="G25" s="73" t="s">
        <v>46</v>
      </c>
      <c r="H25" s="73"/>
      <c r="I25" s="73"/>
      <c r="K25" s="73" t="s">
        <v>37</v>
      </c>
      <c r="L25" s="73"/>
      <c r="M25" s="73"/>
    </row>
    <row r="26" spans="1:34" ht="15" customHeight="1" x14ac:dyDescent="0.35">
      <c r="C26" s="4" t="s">
        <v>1</v>
      </c>
      <c r="D26" s="4" t="s">
        <v>2</v>
      </c>
      <c r="E26" s="4" t="s">
        <v>0</v>
      </c>
      <c r="F26" s="4"/>
      <c r="G26" s="4" t="s">
        <v>1</v>
      </c>
      <c r="H26" s="4" t="s">
        <v>2</v>
      </c>
      <c r="I26" s="4" t="s">
        <v>0</v>
      </c>
      <c r="K26" s="4" t="s">
        <v>1</v>
      </c>
      <c r="L26" s="4" t="s">
        <v>2</v>
      </c>
      <c r="M26" s="4" t="s">
        <v>0</v>
      </c>
    </row>
    <row r="27" spans="1:34" ht="15" customHeight="1" x14ac:dyDescent="0.35">
      <c r="B27" s="5" t="s">
        <v>54</v>
      </c>
      <c r="C27" s="4"/>
      <c r="D27" s="4"/>
      <c r="E27" s="4"/>
      <c r="F27" s="4"/>
      <c r="G27" s="4"/>
      <c r="H27" s="4"/>
      <c r="I27" s="4"/>
      <c r="K27" s="4"/>
      <c r="L27" s="4"/>
      <c r="M27" s="4"/>
    </row>
    <row r="28" spans="1:34" ht="15" customHeight="1" x14ac:dyDescent="0.35">
      <c r="B28" s="33" t="s">
        <v>6</v>
      </c>
      <c r="C28" s="30">
        <v>13.6</v>
      </c>
      <c r="D28" s="28">
        <f>D20</f>
        <v>8.1146902124482594</v>
      </c>
      <c r="E28" s="9">
        <f>SUM(D28/(2000/$E$15))</f>
        <v>3.6516105956017166</v>
      </c>
      <c r="G28" s="30">
        <v>13.6</v>
      </c>
      <c r="H28" s="28">
        <f>D21</f>
        <v>8.62005488220586</v>
      </c>
      <c r="I28" s="9">
        <f>SUM(H28/(2000/$E$15))</f>
        <v>3.8790246969926367</v>
      </c>
      <c r="K28" s="30">
        <v>22.7</v>
      </c>
      <c r="L28" s="28">
        <f>D22</f>
        <v>15.28292014538164</v>
      </c>
      <c r="M28" s="9">
        <f>SUM(L28/(2000/$E$15))</f>
        <v>6.8773140654217375</v>
      </c>
    </row>
    <row r="29" spans="1:34" ht="15" customHeight="1" x14ac:dyDescent="0.35">
      <c r="B29" s="33" t="s">
        <v>40</v>
      </c>
      <c r="C29" s="30">
        <v>4.5</v>
      </c>
      <c r="D29" s="28">
        <f>H20</f>
        <v>5.1029665245395988</v>
      </c>
      <c r="E29" s="9">
        <f>SUM(D29/(2000/$E$15))</f>
        <v>2.2963349360428191</v>
      </c>
      <c r="G29" s="30">
        <v>3.6</v>
      </c>
      <c r="H29" s="28">
        <f>H21</f>
        <v>4.0823732196316795</v>
      </c>
      <c r="I29" s="9">
        <f>SUM(H29/(2000/$E$15))</f>
        <v>1.8370679488342556</v>
      </c>
      <c r="K29" s="30">
        <v>4.5</v>
      </c>
      <c r="L29" s="28">
        <f>H22</f>
        <v>5.1029665245395988</v>
      </c>
      <c r="M29" s="9">
        <f>SUM(L29/(2000/$E$15))</f>
        <v>2.2963349360428191</v>
      </c>
    </row>
    <row r="30" spans="1:34" ht="15.5" x14ac:dyDescent="0.35">
      <c r="B30" s="33" t="s">
        <v>41</v>
      </c>
      <c r="C30" s="30">
        <v>27.2</v>
      </c>
      <c r="D30" s="28">
        <f>L20</f>
        <v>13.571622970153316</v>
      </c>
      <c r="E30" s="9">
        <f>SUM(D30/(2000/$E$15))</f>
        <v>6.1072303365689917</v>
      </c>
      <c r="G30" s="30">
        <v>45.4</v>
      </c>
      <c r="H30" s="28">
        <f>L21</f>
        <v>22.652635398711784</v>
      </c>
      <c r="I30" s="9">
        <f>SUM(H30/(2000/$E$15))</f>
        <v>10.193685929420303</v>
      </c>
      <c r="K30" s="30">
        <v>36.299999999999997</v>
      </c>
      <c r="L30" s="28">
        <f>L22</f>
        <v>18.11212918443255</v>
      </c>
      <c r="M30" s="9">
        <f>SUM(L30/(2000/$E$15))</f>
        <v>8.1504581329946468</v>
      </c>
    </row>
    <row r="31" spans="1:34" ht="15.5" x14ac:dyDescent="0.35">
      <c r="B31" s="33" t="s">
        <v>42</v>
      </c>
      <c r="C31" s="30">
        <v>3.2</v>
      </c>
      <c r="D31" s="31">
        <f>P20</f>
        <v>3.6287761952281596</v>
      </c>
      <c r="E31" s="32">
        <f>SUM(D31/(2000/$E$15))</f>
        <v>1.6329492878526717</v>
      </c>
      <c r="G31" s="30">
        <v>2.7</v>
      </c>
      <c r="H31" s="31">
        <f>P21</f>
        <v>3.0617799147237599</v>
      </c>
      <c r="I31" s="32">
        <f>SUM(H31/(2000/$E$15))</f>
        <v>1.3778009616256919</v>
      </c>
      <c r="K31" s="30">
        <v>3.6</v>
      </c>
      <c r="L31" s="31">
        <f>P22</f>
        <v>4.0823732196316795</v>
      </c>
      <c r="M31" s="32">
        <f>SUM(L31/(2000/$E$15))</f>
        <v>1.8370679488342556</v>
      </c>
    </row>
    <row r="32" spans="1:34" ht="15.5" x14ac:dyDescent="0.35">
      <c r="B32" s="5" t="s">
        <v>59</v>
      </c>
      <c r="D32" s="10">
        <f>SUM(D28:D31)</f>
        <v>30.418055902369336</v>
      </c>
      <c r="E32" s="10">
        <f>SUM(E28:E31)</f>
        <v>13.688125156066199</v>
      </c>
      <c r="H32" s="10">
        <f>SUM(H28:H31)</f>
        <v>38.416843415273078</v>
      </c>
      <c r="I32" s="10">
        <f>SUM(I28:I31)</f>
        <v>17.287579536872887</v>
      </c>
      <c r="L32" s="10">
        <f>SUM(L28:L31)</f>
        <v>42.580389073985465</v>
      </c>
      <c r="M32" s="10">
        <f>SUM(M28:M31)</f>
        <v>19.161175083293461</v>
      </c>
    </row>
    <row r="33" spans="2:13" ht="15.5" x14ac:dyDescent="0.35">
      <c r="B33" s="5"/>
      <c r="D33" s="10"/>
      <c r="E33" s="10"/>
      <c r="H33" s="10"/>
      <c r="I33" s="10"/>
      <c r="L33" s="10"/>
      <c r="M33" s="10"/>
    </row>
    <row r="34" spans="2:13" ht="15.5" x14ac:dyDescent="0.35">
      <c r="B34" s="5" t="s">
        <v>43</v>
      </c>
      <c r="D34" s="29">
        <f>SUM(2000/$E$15)*$E$14</f>
        <v>33.333333333333336</v>
      </c>
      <c r="E34" s="29">
        <f>$E$14</f>
        <v>15</v>
      </c>
      <c r="H34" s="29">
        <f>SUM(2000/$E$15)*$E$14</f>
        <v>33.333333333333336</v>
      </c>
      <c r="I34" s="29">
        <f>$E$14</f>
        <v>15</v>
      </c>
      <c r="L34" s="29">
        <f>SUM(2000/$E$15)*$E$14</f>
        <v>33.333333333333336</v>
      </c>
      <c r="M34" s="29">
        <f>$E$14</f>
        <v>15</v>
      </c>
    </row>
    <row r="35" spans="2:13" ht="15.5" x14ac:dyDescent="0.35">
      <c r="B35" s="5" t="s">
        <v>45</v>
      </c>
      <c r="D35" s="10">
        <f>SUM(D32:D34)</f>
        <v>63.751389235702675</v>
      </c>
      <c r="E35" s="10">
        <f>SUM(E32:E34)</f>
        <v>28.688125156066199</v>
      </c>
      <c r="H35" s="10">
        <f>SUM(H32:H34)</f>
        <v>71.750176748606407</v>
      </c>
      <c r="I35" s="10">
        <f>SUM(I32:I34)</f>
        <v>32.287579536872883</v>
      </c>
      <c r="L35" s="10">
        <f>SUM(L32:L34)</f>
        <v>75.913722407318801</v>
      </c>
      <c r="M35" s="10">
        <f>SUM(M32:M34)</f>
        <v>34.161175083293458</v>
      </c>
    </row>
    <row r="37" spans="2:13" ht="15.5" x14ac:dyDescent="0.35">
      <c r="B37" s="5" t="str">
        <f>"Producer Margin ("&amp;E16*100&amp;"%)"</f>
        <v>Producer Margin (15%)</v>
      </c>
      <c r="D37" s="66">
        <f>SUM(D35*$E$16)</f>
        <v>9.5627083853554016</v>
      </c>
      <c r="E37" s="66">
        <f>SUM(E35*$E$16)</f>
        <v>4.3032187734099301</v>
      </c>
      <c r="H37" s="66">
        <f>SUM(H35*$E$16)</f>
        <v>10.762526512290961</v>
      </c>
      <c r="I37" s="66">
        <f>SUM(I35*$E$16)</f>
        <v>4.8431369305309326</v>
      </c>
      <c r="L37" s="66">
        <f>SUM(L35*$E$16)</f>
        <v>11.38705836109782</v>
      </c>
      <c r="M37" s="66">
        <f>SUM(M35*$E$16)</f>
        <v>5.1241762624940188</v>
      </c>
    </row>
    <row r="39" spans="2:13" ht="15.5" x14ac:dyDescent="0.35">
      <c r="B39" s="5" t="s">
        <v>44</v>
      </c>
      <c r="D39" s="10">
        <f>SUM(D35+D37)</f>
        <v>73.314097621058082</v>
      </c>
      <c r="E39" s="10">
        <f>SUM(E35+E37)</f>
        <v>32.99134392947613</v>
      </c>
      <c r="H39" s="10">
        <f>SUM(H35+H37)</f>
        <v>82.512703260897368</v>
      </c>
      <c r="I39" s="10">
        <f>SUM(I35+I37)</f>
        <v>37.130716467403815</v>
      </c>
      <c r="L39" s="10">
        <f>SUM(L35+L37)</f>
        <v>87.300780768416615</v>
      </c>
      <c r="M39" s="10">
        <f>SUM(M35+M37)</f>
        <v>39.285351345787475</v>
      </c>
    </row>
    <row r="42" spans="2:13" ht="16" thickBot="1" x14ac:dyDescent="0.4">
      <c r="C42" s="73" t="s">
        <v>50</v>
      </c>
      <c r="D42" s="73"/>
      <c r="E42" s="73"/>
      <c r="F42" s="4"/>
      <c r="G42" s="73" t="s">
        <v>55</v>
      </c>
      <c r="H42" s="73"/>
      <c r="I42" s="73"/>
    </row>
    <row r="43" spans="2:13" ht="15.5" x14ac:dyDescent="0.35">
      <c r="C43" s="4" t="s">
        <v>1</v>
      </c>
      <c r="D43" s="4" t="s">
        <v>2</v>
      </c>
      <c r="E43" s="4" t="s">
        <v>0</v>
      </c>
      <c r="F43" s="4"/>
      <c r="G43" s="4" t="s">
        <v>1</v>
      </c>
      <c r="H43" s="4" t="s">
        <v>2</v>
      </c>
      <c r="I43" s="4" t="s">
        <v>0</v>
      </c>
    </row>
    <row r="44" spans="2:13" ht="15.5" x14ac:dyDescent="0.35">
      <c r="B44" s="5" t="s">
        <v>54</v>
      </c>
      <c r="C44" s="4"/>
      <c r="D44" s="4"/>
      <c r="E44" s="4"/>
      <c r="F44" s="4"/>
      <c r="G44" s="4"/>
      <c r="H44" s="4"/>
      <c r="I44" s="4"/>
    </row>
    <row r="45" spans="2:13" ht="15.5" x14ac:dyDescent="0.35">
      <c r="B45" s="33" t="s">
        <v>6</v>
      </c>
      <c r="C45" s="30">
        <v>18.100000000000001</v>
      </c>
      <c r="D45" s="28">
        <f>D23</f>
        <v>11.189112184708351</v>
      </c>
      <c r="E45" s="9">
        <f>SUM(D45/(2000/$E$15))</f>
        <v>5.0351004831187582</v>
      </c>
      <c r="F45" s="28"/>
      <c r="G45" s="30">
        <v>18.100000000000001</v>
      </c>
      <c r="H45" s="28">
        <f>D24</f>
        <v>12.45888518442891</v>
      </c>
      <c r="I45" s="9">
        <f>SUM(H45/(2000/$E$15))</f>
        <v>5.6064983329930094</v>
      </c>
    </row>
    <row r="46" spans="2:13" ht="15.5" x14ac:dyDescent="0.35">
      <c r="B46" s="33" t="s">
        <v>40</v>
      </c>
      <c r="C46" s="30">
        <v>6.4</v>
      </c>
      <c r="D46" s="28">
        <f>H23</f>
        <v>7.2575523904563193</v>
      </c>
      <c r="E46" s="9">
        <f>SUM(D46/(2000/$E$15))</f>
        <v>3.2658985757053434</v>
      </c>
      <c r="F46" s="28"/>
      <c r="G46" s="30">
        <v>2.7</v>
      </c>
      <c r="H46" s="28">
        <f>H24</f>
        <v>3.0617799147237594</v>
      </c>
      <c r="I46" s="9">
        <f>SUM(H46/(2000/$E$15))</f>
        <v>1.3778009616256917</v>
      </c>
    </row>
    <row r="47" spans="2:13" ht="15.5" x14ac:dyDescent="0.35">
      <c r="B47" s="33" t="s">
        <v>41</v>
      </c>
      <c r="C47" s="30">
        <v>27.2</v>
      </c>
      <c r="D47" s="28">
        <f>L23</f>
        <v>13.571622970153316</v>
      </c>
      <c r="E47" s="9">
        <f>SUM(D47/(2000/$E$15))</f>
        <v>6.1072303365689917</v>
      </c>
      <c r="F47" s="28"/>
      <c r="G47" s="30">
        <v>13.6</v>
      </c>
      <c r="H47" s="28">
        <f>L24</f>
        <v>6.7858114850766578</v>
      </c>
      <c r="I47" s="9">
        <f>SUM(H47/(2000/$E$15))</f>
        <v>3.0536151682844959</v>
      </c>
    </row>
    <row r="48" spans="2:13" ht="15.5" x14ac:dyDescent="0.35">
      <c r="B48" s="33" t="s">
        <v>42</v>
      </c>
      <c r="C48" s="30">
        <v>3.6</v>
      </c>
      <c r="D48" s="31">
        <f>P23</f>
        <v>4.0823732196316795</v>
      </c>
      <c r="E48" s="32">
        <f>SUM(D48/(2000/$E$15))</f>
        <v>1.8370679488342556</v>
      </c>
      <c r="F48" s="31"/>
      <c r="G48" s="30">
        <v>2.7</v>
      </c>
      <c r="H48" s="31">
        <f>P24</f>
        <v>3.0617799147237599</v>
      </c>
      <c r="I48" s="32">
        <f>SUM(H48/(2000/$E$15))</f>
        <v>1.3778009616256919</v>
      </c>
    </row>
    <row r="49" spans="1:21" ht="15.5" x14ac:dyDescent="0.35">
      <c r="B49" s="5" t="s">
        <v>59</v>
      </c>
      <c r="D49" s="10">
        <f>SUM(D45:D48)</f>
        <v>36.100660764949666</v>
      </c>
      <c r="E49" s="10">
        <f>SUM(E45:E48)</f>
        <v>16.24529734422735</v>
      </c>
      <c r="F49" s="10"/>
      <c r="H49" s="10">
        <f>SUM(H45:H48)</f>
        <v>25.368256498953087</v>
      </c>
      <c r="I49" s="10">
        <f>SUM(I45:I48)</f>
        <v>11.415715424528889</v>
      </c>
    </row>
    <row r="50" spans="1:21" ht="12.75" customHeight="1" x14ac:dyDescent="0.35">
      <c r="B50" s="5"/>
      <c r="D50" s="10"/>
      <c r="E50" s="10"/>
      <c r="F50" s="10"/>
      <c r="H50" s="10"/>
      <c r="I50" s="10"/>
    </row>
    <row r="51" spans="1:21" ht="15.5" x14ac:dyDescent="0.35">
      <c r="B51" s="5" t="s">
        <v>43</v>
      </c>
      <c r="D51" s="29">
        <f>SUM(2000/$E$15)*$E$14</f>
        <v>33.333333333333336</v>
      </c>
      <c r="E51" s="29">
        <f>$E$14</f>
        <v>15</v>
      </c>
      <c r="F51" s="29"/>
      <c r="H51" s="29">
        <f>SUM(2000/$E$15)*$E$14</f>
        <v>33.333333333333336</v>
      </c>
      <c r="I51" s="29">
        <f>$E$14</f>
        <v>15</v>
      </c>
    </row>
    <row r="52" spans="1:21" ht="15.5" x14ac:dyDescent="0.35">
      <c r="B52" s="5" t="s">
        <v>45</v>
      </c>
      <c r="D52" s="10">
        <f>SUM(D49:D51)</f>
        <v>69.433994098282994</v>
      </c>
      <c r="E52" s="10">
        <f>SUM(E49:E51)</f>
        <v>31.24529734422735</v>
      </c>
      <c r="F52" s="10"/>
      <c r="H52" s="10">
        <f>SUM(H49:H51)</f>
        <v>58.701589832286423</v>
      </c>
      <c r="I52" s="10">
        <f>SUM(I49:I51)</f>
        <v>26.415715424528891</v>
      </c>
    </row>
    <row r="54" spans="1:21" ht="15.5" x14ac:dyDescent="0.35">
      <c r="B54" s="5" t="str">
        <f>"Producer Margin ("&amp;E16*100&amp;"%)"</f>
        <v>Producer Margin (15%)</v>
      </c>
      <c r="D54" s="66">
        <f>SUM(D52*$E$16)</f>
        <v>10.415099114742448</v>
      </c>
      <c r="E54" s="66">
        <f>SUM(E52*$E$16)</f>
        <v>4.6867946016341024</v>
      </c>
      <c r="F54" s="10"/>
      <c r="H54" s="66">
        <f>SUM(H52*$E$16)</f>
        <v>8.8052384748429624</v>
      </c>
      <c r="I54" s="66">
        <f>SUM(I52*$E$16)</f>
        <v>3.9623573136793335</v>
      </c>
    </row>
    <row r="56" spans="1:21" ht="15.5" x14ac:dyDescent="0.35">
      <c r="B56" s="5" t="s">
        <v>44</v>
      </c>
      <c r="D56" s="10">
        <f>SUM(D52+D54)</f>
        <v>79.849093213025441</v>
      </c>
      <c r="E56" s="10">
        <f>SUM(E52+E54)</f>
        <v>35.932091945861451</v>
      </c>
      <c r="F56" s="10"/>
      <c r="H56" s="10">
        <f>SUM(H52+H54)</f>
        <v>67.506828307129382</v>
      </c>
      <c r="I56" s="10">
        <f>SUM(I52+I54)</f>
        <v>30.378072738208225</v>
      </c>
    </row>
    <row r="58" spans="1:21" s="57" customFormat="1" ht="14.15" customHeight="1" x14ac:dyDescent="0.35">
      <c r="A58" s="72" t="s">
        <v>60</v>
      </c>
      <c r="B58" s="72"/>
      <c r="C58" s="72"/>
      <c r="D58" s="72"/>
      <c r="E58" s="72"/>
      <c r="F58" s="72"/>
      <c r="G58" s="72"/>
      <c r="H58" s="72"/>
      <c r="I58" s="72"/>
      <c r="J58" s="72"/>
      <c r="K58" s="72"/>
      <c r="L58" s="72"/>
      <c r="M58" s="72"/>
      <c r="N58" s="67"/>
      <c r="O58" s="67"/>
      <c r="P58" s="67"/>
      <c r="Q58" s="67"/>
      <c r="R58" s="67"/>
      <c r="S58" s="67"/>
      <c r="T58" s="67"/>
      <c r="U58" s="67"/>
    </row>
    <row r="59" spans="1:21" s="57" customFormat="1" ht="14.15" customHeight="1" x14ac:dyDescent="0.35">
      <c r="A59" s="72"/>
      <c r="B59" s="72"/>
      <c r="C59" s="72"/>
      <c r="D59" s="72"/>
      <c r="E59" s="72"/>
      <c r="F59" s="72"/>
      <c r="G59" s="72"/>
      <c r="H59" s="72"/>
      <c r="I59" s="72"/>
      <c r="J59" s="72"/>
      <c r="K59" s="72"/>
      <c r="L59" s="72"/>
      <c r="M59" s="72"/>
      <c r="N59" s="67"/>
      <c r="O59" s="67"/>
      <c r="P59" s="67"/>
      <c r="Q59" s="67"/>
      <c r="R59" s="67"/>
      <c r="S59" s="67"/>
      <c r="T59" s="67"/>
      <c r="U59" s="67"/>
    </row>
    <row r="60" spans="1:21" s="57" customFormat="1" ht="14.15" customHeight="1" x14ac:dyDescent="0.35">
      <c r="A60" s="72"/>
      <c r="B60" s="72"/>
      <c r="C60" s="72"/>
      <c r="D60" s="72"/>
      <c r="E60" s="72"/>
      <c r="F60" s="72"/>
      <c r="G60" s="72"/>
      <c r="H60" s="72"/>
      <c r="I60" s="72"/>
      <c r="J60" s="72"/>
      <c r="K60" s="72"/>
      <c r="L60" s="72"/>
      <c r="M60" s="72"/>
      <c r="N60" s="67"/>
      <c r="O60" s="67"/>
      <c r="P60" s="67"/>
      <c r="Q60" s="67"/>
      <c r="R60" s="67"/>
      <c r="S60" s="67"/>
      <c r="T60" s="67"/>
      <c r="U60" s="67"/>
    </row>
    <row r="61" spans="1:21" s="57" customFormat="1" ht="14.15" customHeight="1" x14ac:dyDescent="0.35">
      <c r="A61" s="72"/>
      <c r="B61" s="72"/>
      <c r="C61" s="72"/>
      <c r="D61" s="72"/>
      <c r="E61" s="72"/>
      <c r="F61" s="72"/>
      <c r="G61" s="72"/>
      <c r="H61" s="72"/>
      <c r="I61" s="72"/>
      <c r="J61" s="72"/>
      <c r="K61" s="72"/>
      <c r="L61" s="72"/>
      <c r="M61" s="72"/>
      <c r="N61" s="67"/>
      <c r="O61" s="67"/>
      <c r="P61" s="67"/>
      <c r="Q61" s="67"/>
      <c r="R61" s="67"/>
      <c r="S61" s="67"/>
      <c r="T61" s="67"/>
      <c r="U61" s="67"/>
    </row>
    <row r="62" spans="1:21" s="57" customFormat="1" ht="14.15" customHeight="1" x14ac:dyDescent="0.35">
      <c r="A62" s="72"/>
      <c r="B62" s="72"/>
      <c r="C62" s="72"/>
      <c r="D62" s="72"/>
      <c r="E62" s="72"/>
      <c r="F62" s="72"/>
      <c r="G62" s="72"/>
      <c r="H62" s="72"/>
      <c r="I62" s="72"/>
      <c r="J62" s="72"/>
      <c r="K62" s="72"/>
      <c r="L62" s="72"/>
      <c r="M62" s="72"/>
      <c r="N62" s="67"/>
      <c r="O62" s="67"/>
      <c r="P62" s="67"/>
      <c r="Q62" s="67"/>
      <c r="R62" s="67"/>
      <c r="S62" s="67"/>
      <c r="T62" s="67"/>
      <c r="U62" s="67"/>
    </row>
    <row r="63" spans="1:21" s="57" customFormat="1" ht="14.15" customHeight="1" x14ac:dyDescent="0.35">
      <c r="A63" s="72"/>
      <c r="B63" s="72"/>
      <c r="C63" s="72"/>
      <c r="D63" s="72"/>
      <c r="E63" s="72"/>
      <c r="F63" s="72"/>
      <c r="G63" s="72"/>
      <c r="H63" s="72"/>
      <c r="I63" s="72"/>
      <c r="J63" s="72"/>
      <c r="K63" s="72"/>
      <c r="L63" s="72"/>
      <c r="M63" s="72"/>
      <c r="N63" s="67"/>
      <c r="O63" s="67"/>
      <c r="P63" s="67"/>
      <c r="Q63" s="67"/>
      <c r="R63" s="67"/>
      <c r="S63" s="67"/>
      <c r="T63" s="67"/>
      <c r="U63" s="67"/>
    </row>
    <row r="64" spans="1:21" ht="14.4" customHeight="1" x14ac:dyDescent="0.3">
      <c r="A64" s="54"/>
      <c r="B64" s="54"/>
      <c r="C64" s="54"/>
      <c r="E64" s="56"/>
      <c r="F64" s="56"/>
      <c r="G64" s="56"/>
      <c r="H64" s="56"/>
      <c r="I64" s="56"/>
      <c r="J64" s="56"/>
      <c r="K64" s="56"/>
      <c r="L64" s="56"/>
      <c r="M64" s="71" t="s">
        <v>61</v>
      </c>
      <c r="N64" s="58"/>
      <c r="O64" s="59"/>
      <c r="P64" s="59"/>
    </row>
    <row r="65" spans="1:16" ht="16.5" customHeight="1" x14ac:dyDescent="0.25">
      <c r="A65" s="60"/>
      <c r="B65" s="61"/>
      <c r="C65" s="61"/>
      <c r="D65" s="61"/>
      <c r="N65" s="58"/>
      <c r="O65" s="59"/>
      <c r="P65" s="59"/>
    </row>
    <row r="66" spans="1:16" s="8" customFormat="1" ht="14" x14ac:dyDescent="0.3">
      <c r="A66" s="62"/>
      <c r="B66" s="63"/>
      <c r="D66" s="62"/>
      <c r="E66" s="64"/>
      <c r="I66" s="62"/>
    </row>
    <row r="67" spans="1:16" s="8" customFormat="1" ht="14" x14ac:dyDescent="0.3">
      <c r="E67" s="65"/>
    </row>
    <row r="73" spans="1:16" ht="14" x14ac:dyDescent="0.25">
      <c r="B73" s="68"/>
    </row>
  </sheetData>
  <sheetProtection algorithmName="SHA-512" hashValue="0sNxaNyumyTNuqz/JS3VAKx2GGvbQ9XzqepcnqGwQtULjbjIfyq9J56KXhGdBNwS6U9CySWJwey3DEL6Qo2fwQ==" saltValue="/yspzB56U/1mc2Uc5G6Wjg==" spinCount="100000" sheet="1" objects="1" scenarios="1"/>
  <mergeCells count="10">
    <mergeCell ref="A58:M63"/>
    <mergeCell ref="G42:I42"/>
    <mergeCell ref="C18:D18"/>
    <mergeCell ref="G18:H18"/>
    <mergeCell ref="O18:P18"/>
    <mergeCell ref="K18:L18"/>
    <mergeCell ref="C25:E25"/>
    <mergeCell ref="G25:I25"/>
    <mergeCell ref="K25:M25"/>
    <mergeCell ref="C42:E42"/>
  </mergeCells>
  <phoneticPr fontId="11" type="noConversion"/>
  <pageMargins left="0.74803149606299213" right="0.74803149606299213" top="0.59055118110236227" bottom="0.59055118110236227" header="0.51181102362204722" footer="0.51181102362204722"/>
  <pageSetup scale="76" firstPageNumber="3" orientation="portrait" useFirstPageNumber="1" r:id="rId1"/>
  <headerFooter scaleWithDoc="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4DE4AE-DCC0-4164-ABE7-8F353F6CB3CD}">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787252A-230A-4F05-88E5-A3B870D28931}">
  <ds:schemaRefs>
    <ds:schemaRef ds:uri="http://schemas.microsoft.com/sharepoint/v3/contenttype/forms"/>
  </ds:schemaRefs>
</ds:datastoreItem>
</file>

<file path=customXml/itemProps3.xml><?xml version="1.0" encoding="utf-8"?>
<ds:datastoreItem xmlns:ds="http://schemas.openxmlformats.org/officeDocument/2006/customXml" ds:itemID="{C6FF211C-7837-4AD0-8CDF-D275941269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Straw Calculator</vt:lpstr>
      <vt:lpstr>'Straw Calculator'!Print_Area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 Cost Calculator - based on nutrient removal</dc:title>
  <dc:creator>Roy Arnott</dc:creator>
  <cp:lastModifiedBy>Mashinini, Khosi</cp:lastModifiedBy>
  <cp:lastPrinted>2022-09-20T21:04:10Z</cp:lastPrinted>
  <dcterms:created xsi:type="dcterms:W3CDTF">1999-05-11T14:54:42Z</dcterms:created>
  <dcterms:modified xsi:type="dcterms:W3CDTF">2025-11-03T19:51:42Z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