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charts/chart16.xml" ContentType="application/vnd.openxmlformats-officedocument.drawingml.chart+xml"/>
  <Override PartName="/xl/drawings/drawing18.xml" ContentType="application/vnd.openxmlformats-officedocument.drawingml.chartshapes+xml"/>
  <Override PartName="/xl/charts/chart17.xml" ContentType="application/vnd.openxmlformats-officedocument.drawingml.chart+xml"/>
  <Override PartName="/xl/drawings/drawing19.xml" ContentType="application/vnd.openxmlformats-officedocument.drawingml.chartshapes+xml"/>
  <Override PartName="/xl/charts/chart18.xml" ContentType="application/vnd.openxmlformats-officedocument.drawingml.chart+xml"/>
  <Override PartName="/xl/drawings/drawing20.xml" ContentType="application/vnd.openxmlformats-officedocument.drawingml.chartshapes+xml"/>
  <Override PartName="/xl/charts/chart19.xml" ContentType="application/vnd.openxmlformats-officedocument.drawingml.chart+xml"/>
  <Override PartName="/xl/drawings/drawing21.xml" ContentType="application/vnd.openxmlformats-officedocument.drawingml.chartshapes+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P:\D03\Farm Management\1. Cost of Production\1.2. Forages\2025\"/>
    </mc:Choice>
  </mc:AlternateContent>
  <xr:revisionPtr revIDLastSave="0" documentId="8_{ED948567-F62E-4E62-A7F1-A5D371730AB2}" xr6:coauthVersionLast="47" xr6:coauthVersionMax="47" xr10:uidLastSave="{00000000-0000-0000-0000-000000000000}"/>
  <workbookProtection workbookAlgorithmName="SHA-512" workbookHashValue="QDOKiaFnwZky3DCfusMms3bfFNwWvAO9ZXKIyAtV3zPMY6QTvj5gZkWbr0srz9tXMGdbQhFNN4+bMxU95X0myg==" workbookSaltValue="pYmpnLSriA3yELO04iX1Mg==" workbookSpinCount="100000" lockStructure="1"/>
  <bookViews>
    <workbookView xWindow="-110" yWindow="-110" windowWidth="19420" windowHeight="10420" tabRatio="892" xr2:uid="{00000000-000D-0000-FFFF-FFFF00000000}"/>
  </bookViews>
  <sheets>
    <sheet name="Introduction" sheetId="10" r:id="rId1"/>
    <sheet name="Summary" sheetId="2" r:id="rId2"/>
    <sheet name="Risk" sheetId="11" r:id="rId3"/>
    <sheet name="Pasture Insurance" sheetId="16" r:id="rId4"/>
    <sheet name="Input" sheetId="1" r:id="rId5"/>
    <sheet name="Fixed Cost Input" sheetId="12" r:id="rId6"/>
    <sheet name="Assumptions" sheetId="13" r:id="rId7"/>
    <sheet name="Example" sheetId="5" r:id="rId8"/>
    <sheet name="AUM  Carrying Capcity Worksheet" sheetId="9" r:id="rId9"/>
    <sheet name="Pasture Ins Calc (HIDE)" sheetId="17" state="hidden" r:id="rId10"/>
    <sheet name="Chart (HIDE)" sheetId="15" state="hidden" r:id="rId11"/>
  </sheets>
  <definedNames>
    <definedName name="\A" localSheetId="6">#REF!</definedName>
    <definedName name="\A" localSheetId="5">#REF!</definedName>
    <definedName name="\A" localSheetId="0">#REF!</definedName>
    <definedName name="\A" localSheetId="9">#REF!</definedName>
    <definedName name="\A" localSheetId="2">#REF!</definedName>
    <definedName name="\A">#REF!</definedName>
    <definedName name="\B" localSheetId="5">#REF!</definedName>
    <definedName name="\B" localSheetId="0">#REF!</definedName>
    <definedName name="\B" localSheetId="9">#REF!</definedName>
    <definedName name="\B" localSheetId="2">#REF!</definedName>
    <definedName name="\B">#REF!</definedName>
    <definedName name="\C" localSheetId="6">#REF!</definedName>
    <definedName name="\C" localSheetId="5">#REF!</definedName>
    <definedName name="\C" localSheetId="0">#REF!</definedName>
    <definedName name="\C" localSheetId="9">#REF!</definedName>
    <definedName name="\C" localSheetId="2">#REF!</definedName>
    <definedName name="\C">#REF!</definedName>
    <definedName name="\D" localSheetId="6">#REF!</definedName>
    <definedName name="\D" localSheetId="5">#REF!</definedName>
    <definedName name="\D" localSheetId="0">#REF!</definedName>
    <definedName name="\D" localSheetId="9">#REF!</definedName>
    <definedName name="\D" localSheetId="2">#REF!</definedName>
    <definedName name="\D">#REF!</definedName>
    <definedName name="\E" localSheetId="5">#REF!</definedName>
    <definedName name="\E" localSheetId="0">#REF!</definedName>
    <definedName name="\E" localSheetId="9">#REF!</definedName>
    <definedName name="\E" localSheetId="2">#REF!</definedName>
    <definedName name="\E">#REF!</definedName>
    <definedName name="\F" localSheetId="5">#REF!</definedName>
    <definedName name="\F" localSheetId="0">#REF!</definedName>
    <definedName name="\F" localSheetId="9">#REF!</definedName>
    <definedName name="\F" localSheetId="2">#REF!</definedName>
    <definedName name="\F">#REF!</definedName>
    <definedName name="\H" localSheetId="6">#REF!</definedName>
    <definedName name="\H" localSheetId="5">#REF!</definedName>
    <definedName name="\H" localSheetId="0">#REF!</definedName>
    <definedName name="\H" localSheetId="9">#REF!</definedName>
    <definedName name="\H" localSheetId="2">#REF!</definedName>
    <definedName name="\H">#REF!</definedName>
    <definedName name="\I" localSheetId="6">#REF!</definedName>
    <definedName name="\I" localSheetId="5">#REF!</definedName>
    <definedName name="\I" localSheetId="0">#REF!</definedName>
    <definedName name="\I" localSheetId="9">#REF!</definedName>
    <definedName name="\I" localSheetId="2">#REF!</definedName>
    <definedName name="\I">#REF!</definedName>
    <definedName name="\K">#N/A</definedName>
    <definedName name="\L" localSheetId="5">#REF!</definedName>
    <definedName name="\L" localSheetId="0">#REF!</definedName>
    <definedName name="\L" localSheetId="9">#REF!</definedName>
    <definedName name="\L" localSheetId="2">#REF!</definedName>
    <definedName name="\L">#REF!</definedName>
    <definedName name="\N" localSheetId="6">#REF!</definedName>
    <definedName name="\N" localSheetId="5">#REF!</definedName>
    <definedName name="\N" localSheetId="0">#REF!</definedName>
    <definedName name="\N" localSheetId="9">#REF!</definedName>
    <definedName name="\N" localSheetId="2">#REF!</definedName>
    <definedName name="\N">#REF!</definedName>
    <definedName name="\O" localSheetId="5">#REF!</definedName>
    <definedName name="\O" localSheetId="0">#REF!</definedName>
    <definedName name="\O" localSheetId="9">#REF!</definedName>
    <definedName name="\O" localSheetId="2">#REF!</definedName>
    <definedName name="\O">#REF!</definedName>
    <definedName name="\P">#N/A</definedName>
    <definedName name="\R" localSheetId="5">#REF!</definedName>
    <definedName name="\R" localSheetId="0">#REF!</definedName>
    <definedName name="\R" localSheetId="9">#REF!</definedName>
    <definedName name="\R" localSheetId="2">#REF!</definedName>
    <definedName name="\R">#REF!</definedName>
    <definedName name="\S" localSheetId="6">#REF!</definedName>
    <definedName name="\S" localSheetId="5">#REF!</definedName>
    <definedName name="\S" localSheetId="0">#REF!</definedName>
    <definedName name="\S" localSheetId="9">#REF!</definedName>
    <definedName name="\S" localSheetId="2">#REF!</definedName>
    <definedName name="\S">#REF!</definedName>
    <definedName name="\T" localSheetId="5">#REF!</definedName>
    <definedName name="\T" localSheetId="0">#REF!</definedName>
    <definedName name="\T" localSheetId="9">#REF!</definedName>
    <definedName name="\T" localSheetId="2">#REF!</definedName>
    <definedName name="\T">#REF!</definedName>
    <definedName name="\U" localSheetId="5">#REF!</definedName>
    <definedName name="\U" localSheetId="0">#REF!</definedName>
    <definedName name="\U" localSheetId="9">#REF!</definedName>
    <definedName name="\U" localSheetId="2">#REF!</definedName>
    <definedName name="\U">#REF!</definedName>
    <definedName name="\W" localSheetId="6">#REF!</definedName>
    <definedName name="\W" localSheetId="5">#REF!</definedName>
    <definedName name="\W" localSheetId="0">#REF!</definedName>
    <definedName name="\W" localSheetId="9">#REF!</definedName>
    <definedName name="\W" localSheetId="2">#REF!</definedName>
    <definedName name="\W">#REF!</definedName>
    <definedName name="\X">#N/A</definedName>
    <definedName name="\Y" localSheetId="5">#REF!</definedName>
    <definedName name="\Y" localSheetId="0">#REF!</definedName>
    <definedName name="\Y" localSheetId="9">#REF!</definedName>
    <definedName name="\Y" localSheetId="2">#REF!</definedName>
    <definedName name="\Y">#REF!</definedName>
    <definedName name="ALL">#N/A</definedName>
    <definedName name="Animal">'Pasture Ins Calc (HIDE)'!$C$196:$C$205</definedName>
    <definedName name="Bison">'Pasture Ins Calc (HIDE)'!$C$235:$C$237</definedName>
    <definedName name="Cows">'Pasture Ins Calc (HIDE)'!$C$211:$C$213</definedName>
    <definedName name="Deer">'Pasture Ins Calc (HIDE)'!$C$232:$C$234</definedName>
    <definedName name="Donkeys_and_Ponies">'Pasture Ins Calc (HIDE)'!$C$223:$C$225</definedName>
    <definedName name="Elk">'Pasture Ins Calc (HIDE)'!$C$229:$C$231</definedName>
    <definedName name="Goats">'Pasture Ins Calc (HIDE)'!$C$217:$C$219</definedName>
    <definedName name="Horses">'Pasture Ins Calc (HIDE)'!$C$220:$C$222</definedName>
    <definedName name="Llamas_and_Alpacas">'Pasture Ins Calc (HIDE)'!$C$226:$C$228</definedName>
    <definedName name="_xlnm.Print_Area" localSheetId="6">Assumptions!$A$1:$I$64</definedName>
    <definedName name="_xlnm.Print_Area" localSheetId="4">Input!$A$1:$L$115</definedName>
    <definedName name="_xlnm.Print_Area" localSheetId="0">Introduction!$A$1:$J$58</definedName>
    <definedName name="_xlnm.Print_Area" localSheetId="9">'Pasture Ins Calc (HIDE)'!$A$1:$J$86</definedName>
    <definedName name="_xlnm.Print_Area" localSheetId="3">'Pasture Insurance'!$A$1:$I$70</definedName>
    <definedName name="_xlnm.Print_Area" localSheetId="2">Risk!$A$1:$K$77</definedName>
    <definedName name="_xlnm.Print_Area" localSheetId="1">Summary!$A$1:$K$56</definedName>
    <definedName name="Sheep">'Pasture Ins Calc (HIDE)'!$C$214:$C$216</definedName>
    <definedName name="Z_6E930F6D_F725_11D2_92B5_0004ACD86FC2_.wvu.PrintArea" localSheetId="6" hidden="1">Assumptions!$A$1:$A$1</definedName>
    <definedName name="Z_6E930F6D_F725_11D2_92B5_0004ACD86FC2_.wvu.PrintArea" localSheetId="0" hidden="1">Introduction!$A$5:$B$32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3" l="1"/>
  <c r="D13" i="11" l="1"/>
  <c r="D131" i="15" l="1"/>
  <c r="D132" i="15"/>
  <c r="E132" i="15"/>
  <c r="F132" i="15"/>
  <c r="I13" i="11"/>
  <c r="H13" i="11"/>
  <c r="I11" i="11"/>
  <c r="H11" i="11"/>
  <c r="D11" i="11"/>
  <c r="I10" i="11"/>
  <c r="I8" i="11"/>
  <c r="H8" i="11"/>
  <c r="D8" i="11"/>
  <c r="I7" i="11"/>
  <c r="H7" i="11"/>
  <c r="D7" i="11"/>
  <c r="F34" i="1"/>
  <c r="J34" i="1"/>
  <c r="F35" i="1"/>
  <c r="J35" i="1"/>
  <c r="F36" i="1"/>
  <c r="J36" i="1"/>
  <c r="F37" i="1"/>
  <c r="J37" i="1"/>
  <c r="F38" i="1"/>
  <c r="J38" i="1"/>
  <c r="I48" i="1"/>
  <c r="I49" i="1"/>
  <c r="I50" i="1"/>
  <c r="F55" i="1"/>
  <c r="F56" i="1"/>
  <c r="F57" i="1"/>
  <c r="F59" i="1"/>
  <c r="S66" i="1"/>
  <c r="T66" i="1" s="1"/>
  <c r="U66" i="1" s="1"/>
  <c r="V66" i="1" s="1"/>
  <c r="W66" i="1"/>
  <c r="X66" i="1" s="1"/>
  <c r="Y66" i="1" s="1"/>
  <c r="Z66" i="1" s="1"/>
  <c r="AK66" i="1"/>
  <c r="AL66" i="1" s="1"/>
  <c r="AM66" i="1" s="1"/>
  <c r="AN66" i="1"/>
  <c r="AB66" i="1" s="1"/>
  <c r="AQ66" i="1"/>
  <c r="AH66" i="1" s="1"/>
  <c r="AR66" i="1"/>
  <c r="AS66" i="1" s="1"/>
  <c r="S67" i="1"/>
  <c r="T67" i="1" s="1"/>
  <c r="U67" i="1" s="1"/>
  <c r="V67" i="1" s="1"/>
  <c r="W67" i="1"/>
  <c r="X67" i="1" s="1"/>
  <c r="Y67" i="1" s="1"/>
  <c r="Z67" i="1" s="1"/>
  <c r="AK67" i="1"/>
  <c r="AL67" i="1"/>
  <c r="AM67" i="1" s="1"/>
  <c r="I67" i="1" s="1"/>
  <c r="AN67" i="1"/>
  <c r="AB67" i="1" s="1"/>
  <c r="AQ67" i="1"/>
  <c r="AC67" i="1" s="1"/>
  <c r="S68" i="1"/>
  <c r="T68" i="1"/>
  <c r="U68" i="1"/>
  <c r="V68" i="1" s="1"/>
  <c r="W68" i="1"/>
  <c r="X68" i="1"/>
  <c r="Y68" i="1"/>
  <c r="Z68" i="1"/>
  <c r="AK68" i="1"/>
  <c r="AL68" i="1"/>
  <c r="AM68" i="1"/>
  <c r="I68" i="1" s="1"/>
  <c r="AN68" i="1"/>
  <c r="AO68" i="1" s="1"/>
  <c r="AP68" i="1" s="1"/>
  <c r="AQ68" i="1"/>
  <c r="AC68" i="1" s="1"/>
  <c r="AR68" i="1"/>
  <c r="AS68" i="1"/>
  <c r="S69" i="1"/>
  <c r="T69" i="1" s="1"/>
  <c r="U69" i="1" s="1"/>
  <c r="V69" i="1" s="1"/>
  <c r="W69" i="1"/>
  <c r="X69" i="1" s="1"/>
  <c r="Y69" i="1" s="1"/>
  <c r="Z69" i="1" s="1"/>
  <c r="AK69" i="1"/>
  <c r="AL69" i="1" s="1"/>
  <c r="AM69" i="1" s="1"/>
  <c r="I69" i="1" s="1"/>
  <c r="AN69" i="1"/>
  <c r="AB69" i="1" s="1"/>
  <c r="AO69" i="1"/>
  <c r="AP69" i="1" s="1"/>
  <c r="AQ69" i="1"/>
  <c r="AH69" i="1" s="1"/>
  <c r="AR69" i="1"/>
  <c r="AS69" i="1" s="1"/>
  <c r="H82" i="1"/>
  <c r="H83" i="1"/>
  <c r="H84" i="1"/>
  <c r="F98" i="1"/>
  <c r="E98" i="1" s="1"/>
  <c r="J98" i="1"/>
  <c r="I98" i="1" s="1"/>
  <c r="I115" i="1"/>
  <c r="S67" i="15"/>
  <c r="R67" i="15"/>
  <c r="Q72" i="15"/>
  <c r="Q73" i="15" s="1"/>
  <c r="Q70" i="15"/>
  <c r="Q69" i="15" s="1"/>
  <c r="Q65" i="15"/>
  <c r="B43" i="15"/>
  <c r="B65" i="15"/>
  <c r="B72" i="15"/>
  <c r="B74" i="15" s="1"/>
  <c r="B70" i="15"/>
  <c r="B68" i="15" s="1"/>
  <c r="B50" i="15"/>
  <c r="B51" i="15" s="1"/>
  <c r="B48" i="15"/>
  <c r="B47" i="15" s="1"/>
  <c r="B29" i="15"/>
  <c r="B31" i="15" s="1"/>
  <c r="B27" i="15"/>
  <c r="B26" i="15" s="1"/>
  <c r="B11" i="15"/>
  <c r="B12" i="15" s="1"/>
  <c r="B9" i="15"/>
  <c r="B8" i="15" s="1"/>
  <c r="G25" i="17"/>
  <c r="G24" i="17"/>
  <c r="G23" i="17"/>
  <c r="G22" i="17"/>
  <c r="G21" i="17"/>
  <c r="G20" i="17"/>
  <c r="AO67" i="1" l="1"/>
  <c r="AP67" i="1" s="1"/>
  <c r="AO66" i="1"/>
  <c r="AP66" i="1" s="1"/>
  <c r="J39" i="1"/>
  <c r="F39" i="1"/>
  <c r="F60" i="1"/>
  <c r="F58" i="1"/>
  <c r="F61" i="1" s="1"/>
  <c r="AH67" i="1"/>
  <c r="K68" i="1"/>
  <c r="AH68" i="1"/>
  <c r="AR67" i="1"/>
  <c r="AS67" i="1" s="1"/>
  <c r="K67" i="1" s="1"/>
  <c r="AI66" i="1"/>
  <c r="AJ66" i="1" s="1"/>
  <c r="AA66" i="1"/>
  <c r="AI69" i="1"/>
  <c r="AJ69" i="1" s="1"/>
  <c r="F69" i="1" s="1"/>
  <c r="AA69" i="1"/>
  <c r="K69" i="1"/>
  <c r="AC66" i="1"/>
  <c r="AB68" i="1"/>
  <c r="AC69" i="1"/>
  <c r="Q74" i="15"/>
  <c r="Q68" i="15"/>
  <c r="B69" i="15"/>
  <c r="B73" i="15"/>
  <c r="B52" i="15"/>
  <c r="B46" i="15"/>
  <c r="B25" i="15"/>
  <c r="B30" i="15"/>
  <c r="B13" i="15"/>
  <c r="B7" i="15"/>
  <c r="AD69" i="1" l="1"/>
  <c r="AE69" i="1" s="1"/>
  <c r="AF69" i="1" s="1"/>
  <c r="AG69" i="1" s="1"/>
  <c r="D69" i="1" s="1"/>
  <c r="L69" i="1" s="1"/>
  <c r="AI68" i="1"/>
  <c r="AJ68" i="1" s="1"/>
  <c r="F68" i="1" s="1"/>
  <c r="AA68" i="1"/>
  <c r="AA67" i="1"/>
  <c r="AD67" i="1" s="1"/>
  <c r="AE67" i="1" s="1"/>
  <c r="AF67" i="1" s="1"/>
  <c r="AG67" i="1" s="1"/>
  <c r="D67" i="1" s="1"/>
  <c r="AI67" i="1"/>
  <c r="AJ67" i="1" s="1"/>
  <c r="F67" i="1" s="1"/>
  <c r="AD68" i="1"/>
  <c r="AE68" i="1" s="1"/>
  <c r="AF68" i="1" s="1"/>
  <c r="AG68" i="1" s="1"/>
  <c r="D68" i="1" s="1"/>
  <c r="AD66" i="1"/>
  <c r="AE66" i="1" s="1"/>
  <c r="AF66" i="1" s="1"/>
  <c r="AG66" i="1" s="1"/>
  <c r="L67" i="1" l="1"/>
  <c r="L68" i="1"/>
  <c r="B66" i="16"/>
  <c r="G6" i="16"/>
  <c r="E36" i="16"/>
  <c r="D7" i="16"/>
  <c r="B7" i="16"/>
  <c r="G133" i="15" l="1"/>
  <c r="G130" i="15"/>
  <c r="G131" i="15"/>
  <c r="G132" i="15"/>
  <c r="G36" i="16"/>
  <c r="G177" i="17" l="1"/>
  <c r="F177" i="17"/>
  <c r="G189" i="17"/>
  <c r="F189" i="17"/>
  <c r="F185" i="17"/>
  <c r="F182" i="17" s="1"/>
  <c r="G185" i="17"/>
  <c r="G182" i="17" s="1"/>
  <c r="E45" i="17" l="1"/>
  <c r="B11" i="17"/>
  <c r="E11" i="17"/>
  <c r="I10" i="17"/>
  <c r="J3" i="17"/>
  <c r="H8" i="17"/>
  <c r="G4" i="16"/>
  <c r="G17" i="16"/>
  <c r="C17" i="16"/>
  <c r="G14" i="16"/>
  <c r="C14" i="16"/>
  <c r="E26" i="17"/>
  <c r="A53" i="17" s="1"/>
  <c r="B109" i="15"/>
  <c r="B86" i="15"/>
  <c r="B108" i="15"/>
  <c r="B85" i="15"/>
  <c r="B84" i="15"/>
  <c r="B107" i="15"/>
  <c r="D67" i="15"/>
  <c r="C67" i="15"/>
  <c r="D24" i="15"/>
  <c r="C24" i="15"/>
  <c r="B22" i="15"/>
  <c r="D6" i="15"/>
  <c r="C6" i="15"/>
  <c r="B4" i="15"/>
  <c r="H1" i="9"/>
  <c r="K1" i="9"/>
  <c r="H19" i="5"/>
  <c r="B9" i="13"/>
  <c r="B13" i="13"/>
  <c r="B21" i="13"/>
  <c r="B25" i="13"/>
  <c r="B41" i="13"/>
  <c r="B48" i="13"/>
  <c r="E4" i="12"/>
  <c r="I4" i="12"/>
  <c r="E6" i="12"/>
  <c r="C120" i="15" s="1"/>
  <c r="F120" i="15" s="1"/>
  <c r="I6" i="12"/>
  <c r="D115" i="15" s="1"/>
  <c r="E9" i="12"/>
  <c r="I9" i="12"/>
  <c r="E19" i="12"/>
  <c r="D49" i="2" s="1"/>
  <c r="I19" i="12"/>
  <c r="H49" i="2" s="1"/>
  <c r="E30" i="12"/>
  <c r="F30" i="12"/>
  <c r="I30" i="12"/>
  <c r="J30" i="12"/>
  <c r="A35" i="12"/>
  <c r="K43" i="12"/>
  <c r="L43" i="12"/>
  <c r="K44" i="12"/>
  <c r="L44" i="12"/>
  <c r="K45" i="12"/>
  <c r="L45" i="12"/>
  <c r="K46" i="12"/>
  <c r="L46" i="12"/>
  <c r="K47" i="12"/>
  <c r="L47" i="12"/>
  <c r="G17" i="2"/>
  <c r="C19" i="2"/>
  <c r="G19" i="2"/>
  <c r="F5" i="1"/>
  <c r="I5" i="1"/>
  <c r="E9" i="1"/>
  <c r="E25" i="1" s="1"/>
  <c r="E26" i="1" s="1"/>
  <c r="H9" i="1"/>
  <c r="H22" i="2" s="1"/>
  <c r="I22" i="2" s="1"/>
  <c r="E10" i="1"/>
  <c r="E5" i="2"/>
  <c r="H10" i="1"/>
  <c r="I5" i="2"/>
  <c r="E13" i="1"/>
  <c r="H13" i="1"/>
  <c r="E16" i="1"/>
  <c r="H16" i="1"/>
  <c r="L11" i="9" s="1"/>
  <c r="A1" i="2"/>
  <c r="C4" i="2"/>
  <c r="D4" i="2"/>
  <c r="G4" i="2"/>
  <c r="H4" i="2"/>
  <c r="C6" i="2"/>
  <c r="G6" i="2"/>
  <c r="C17" i="2"/>
  <c r="C21" i="2"/>
  <c r="G21" i="2"/>
  <c r="C22" i="2"/>
  <c r="G22" i="2"/>
  <c r="K25" i="2"/>
  <c r="K39" i="2"/>
  <c r="K33" i="2"/>
  <c r="K35" i="2"/>
  <c r="C37" i="2"/>
  <c r="G37" i="2"/>
  <c r="H37" i="2" s="1"/>
  <c r="I37" i="2" s="1"/>
  <c r="A7" i="10"/>
  <c r="C16" i="2"/>
  <c r="C15" i="2"/>
  <c r="D15" i="2" s="1"/>
  <c r="E15" i="2" s="1"/>
  <c r="G16" i="2"/>
  <c r="G15" i="2"/>
  <c r="C118" i="15"/>
  <c r="I118" i="15" s="1"/>
  <c r="C119" i="15"/>
  <c r="I119" i="15" s="1"/>
  <c r="C87" i="15"/>
  <c r="C110" i="15"/>
  <c r="E5" i="1"/>
  <c r="C113" i="15"/>
  <c r="E10" i="2"/>
  <c r="F87" i="15"/>
  <c r="D17" i="16"/>
  <c r="D20" i="16" s="1"/>
  <c r="H17" i="16"/>
  <c r="H20" i="16" s="1"/>
  <c r="D117" i="15" l="1"/>
  <c r="G117" i="15" s="1"/>
  <c r="J10" i="2"/>
  <c r="D113" i="15"/>
  <c r="J113" i="15" s="1"/>
  <c r="D87" i="15"/>
  <c r="C69" i="16"/>
  <c r="C70" i="16" s="1"/>
  <c r="G69" i="16"/>
  <c r="G70" i="16" s="1"/>
  <c r="E19" i="1"/>
  <c r="M17" i="9"/>
  <c r="D16" i="2"/>
  <c r="E16" i="2" s="1"/>
  <c r="B28" i="13"/>
  <c r="K12" i="9"/>
  <c r="L12" i="9"/>
  <c r="L14" i="9"/>
  <c r="M16" i="9"/>
  <c r="K16" i="9"/>
  <c r="L16" i="9"/>
  <c r="M12" i="9"/>
  <c r="F110" i="15"/>
  <c r="K11" i="9"/>
  <c r="D37" i="2"/>
  <c r="E37" i="2" s="1"/>
  <c r="C116" i="15"/>
  <c r="I116" i="15" s="1"/>
  <c r="C115" i="15"/>
  <c r="I115" i="15" s="1"/>
  <c r="E20" i="1"/>
  <c r="H5" i="5" s="1"/>
  <c r="H11" i="5" s="1"/>
  <c r="H16" i="5" s="1"/>
  <c r="H21" i="5" s="1"/>
  <c r="E21" i="1"/>
  <c r="D53" i="2" s="1"/>
  <c r="J20" i="9"/>
  <c r="I18" i="9"/>
  <c r="H20" i="9"/>
  <c r="J23" i="9"/>
  <c r="H23" i="9"/>
  <c r="I22" i="9"/>
  <c r="I20" i="9"/>
  <c r="J24" i="9"/>
  <c r="I110" i="15"/>
  <c r="K13" i="9"/>
  <c r="K15" i="9"/>
  <c r="H19" i="1"/>
  <c r="M14" i="9"/>
  <c r="D7" i="2"/>
  <c r="H18" i="9"/>
  <c r="I24" i="9"/>
  <c r="H14" i="5"/>
  <c r="L48" i="12"/>
  <c r="H29" i="12" s="1"/>
  <c r="H30" i="12" s="1"/>
  <c r="K48" i="12"/>
  <c r="D29" i="12" s="1"/>
  <c r="D30" i="12" s="1"/>
  <c r="J97" i="1"/>
  <c r="I97" i="1" s="1"/>
  <c r="G18" i="2" s="1"/>
  <c r="H18" i="2" s="1"/>
  <c r="I18" i="2" s="1"/>
  <c r="F97" i="1"/>
  <c r="E97" i="1" s="1"/>
  <c r="C18" i="2" s="1"/>
  <c r="D18" i="2" s="1"/>
  <c r="E18" i="2" s="1"/>
  <c r="B4" i="13"/>
  <c r="D22" i="2"/>
  <c r="E22" i="2" s="1"/>
  <c r="M11" i="9"/>
  <c r="H21" i="2"/>
  <c r="I21" i="2" s="1"/>
  <c r="I113" i="15"/>
  <c r="H15" i="2"/>
  <c r="I15" i="2" s="1"/>
  <c r="D21" i="2"/>
  <c r="E21" i="2" s="1"/>
  <c r="H17" i="2"/>
  <c r="I17" i="2" s="1"/>
  <c r="I120" i="15"/>
  <c r="D17" i="2"/>
  <c r="E17" i="2" s="1"/>
  <c r="D45" i="15"/>
  <c r="H10" i="11"/>
  <c r="C45" i="15"/>
  <c r="D10" i="11"/>
  <c r="H21" i="1"/>
  <c r="H53" i="2" s="1"/>
  <c r="H20" i="1"/>
  <c r="H8" i="2" s="1"/>
  <c r="H7" i="2"/>
  <c r="J115" i="15"/>
  <c r="H25" i="1"/>
  <c r="H26" i="1" s="1"/>
  <c r="H22" i="9"/>
  <c r="K17" i="9"/>
  <c r="H21" i="9"/>
  <c r="K14" i="9"/>
  <c r="C114" i="15"/>
  <c r="F114" i="15" s="1"/>
  <c r="D116" i="15"/>
  <c r="J116" i="15" s="1"/>
  <c r="H16" i="2"/>
  <c r="I16" i="2" s="1"/>
  <c r="J21" i="9"/>
  <c r="I19" i="9"/>
  <c r="L17" i="9"/>
  <c r="H24" i="9"/>
  <c r="M13" i="9"/>
  <c r="B54" i="13"/>
  <c r="L13" i="9"/>
  <c r="C112" i="15"/>
  <c r="I112" i="15" s="1"/>
  <c r="H19" i="2"/>
  <c r="I19" i="2" s="1"/>
  <c r="L15" i="9"/>
  <c r="H8" i="5"/>
  <c r="M15" i="9"/>
  <c r="J19" i="9"/>
  <c r="H19" i="9"/>
  <c r="I21" i="9"/>
  <c r="C117" i="15"/>
  <c r="I117" i="15" s="1"/>
  <c r="J18" i="9"/>
  <c r="I23" i="9"/>
  <c r="J22" i="9"/>
  <c r="I87" i="15"/>
  <c r="E15" i="12"/>
  <c r="J110" i="15"/>
  <c r="F119" i="15"/>
  <c r="E14" i="12"/>
  <c r="F14" i="12" s="1"/>
  <c r="B33" i="13" s="1"/>
  <c r="C111" i="15"/>
  <c r="F111" i="15" s="1"/>
  <c r="F118" i="15"/>
  <c r="D19" i="2"/>
  <c r="E19" i="2" s="1"/>
  <c r="B14" i="13"/>
  <c r="D121" i="15"/>
  <c r="D114" i="15"/>
  <c r="D111" i="15"/>
  <c r="G87" i="15"/>
  <c r="D110" i="15"/>
  <c r="I14" i="12"/>
  <c r="J87" i="15"/>
  <c r="G110" i="15"/>
  <c r="C121" i="15"/>
  <c r="I15" i="12"/>
  <c r="J15" i="12" s="1"/>
  <c r="D112" i="15"/>
  <c r="F113" i="15"/>
  <c r="H5" i="1"/>
  <c r="D120" i="15"/>
  <c r="G115" i="15"/>
  <c r="D118" i="15"/>
  <c r="D119" i="15"/>
  <c r="G26" i="17"/>
  <c r="E46" i="17" s="1"/>
  <c r="H28" i="16"/>
  <c r="H37" i="16"/>
  <c r="G37" i="16"/>
  <c r="C37" i="16"/>
  <c r="D28" i="16"/>
  <c r="G20" i="16"/>
  <c r="D37" i="16"/>
  <c r="C20" i="16"/>
  <c r="C28" i="16"/>
  <c r="D29" i="16" s="1"/>
  <c r="G28" i="16"/>
  <c r="H29" i="16" s="1"/>
  <c r="D180" i="17"/>
  <c r="H190" i="17"/>
  <c r="H176" i="17"/>
  <c r="H175" i="17"/>
  <c r="H189" i="17"/>
  <c r="H188" i="17"/>
  <c r="H177" i="17"/>
  <c r="H178" i="17"/>
  <c r="D88" i="17"/>
  <c r="G45" i="17"/>
  <c r="H185" i="17"/>
  <c r="H186" i="17"/>
  <c r="H184" i="17"/>
  <c r="G113" i="15" l="1"/>
  <c r="J117" i="15"/>
  <c r="F115" i="15"/>
  <c r="F116" i="15"/>
  <c r="B56" i="13"/>
  <c r="D8" i="2"/>
  <c r="F112" i="15"/>
  <c r="B10" i="13"/>
  <c r="F36" i="12"/>
  <c r="E36" i="12" s="1"/>
  <c r="F35" i="12"/>
  <c r="E35" i="12" s="1"/>
  <c r="J35" i="12"/>
  <c r="I35" i="12" s="1"/>
  <c r="G30" i="2" s="1"/>
  <c r="H30" i="2" s="1"/>
  <c r="I30" i="2" s="1"/>
  <c r="J36" i="12"/>
  <c r="I36" i="12" s="1"/>
  <c r="B37" i="17"/>
  <c r="G116" i="15"/>
  <c r="I114" i="15"/>
  <c r="B11" i="2"/>
  <c r="F117" i="15"/>
  <c r="F15" i="12"/>
  <c r="F16" i="12" s="1"/>
  <c r="B36" i="13"/>
  <c r="E16" i="12"/>
  <c r="C29" i="2" s="1"/>
  <c r="D29" i="2" s="1"/>
  <c r="I111" i="15"/>
  <c r="G112" i="15"/>
  <c r="J112" i="15"/>
  <c r="J111" i="15"/>
  <c r="G111" i="15"/>
  <c r="J118" i="15"/>
  <c r="G118" i="15"/>
  <c r="J120" i="15"/>
  <c r="G120" i="15"/>
  <c r="B37" i="13"/>
  <c r="J114" i="15"/>
  <c r="G114" i="15"/>
  <c r="F121" i="15"/>
  <c r="I121" i="15"/>
  <c r="J121" i="15"/>
  <c r="G121" i="15"/>
  <c r="G119" i="15"/>
  <c r="J119" i="15"/>
  <c r="J14" i="12"/>
  <c r="I16" i="12"/>
  <c r="G29" i="2" s="1"/>
  <c r="B29" i="17"/>
  <c r="E75" i="17"/>
  <c r="E76" i="17" s="1"/>
  <c r="E37" i="17"/>
  <c r="E38" i="17" s="1"/>
  <c r="B174" i="17" s="1"/>
  <c r="B46" i="17"/>
  <c r="E29" i="17"/>
  <c r="E30" i="17" s="1"/>
  <c r="E47" i="17" s="1"/>
  <c r="C29" i="16"/>
  <c r="B129" i="15" s="1"/>
  <c r="G29" i="16"/>
  <c r="B130" i="15" s="1"/>
  <c r="C21" i="16"/>
  <c r="G21" i="16"/>
  <c r="H21" i="16" s="1"/>
  <c r="B51" i="13" l="1"/>
  <c r="G32" i="2"/>
  <c r="H32" i="2" s="1"/>
  <c r="I32" i="2" s="1"/>
  <c r="B44" i="13"/>
  <c r="B43" i="13"/>
  <c r="C30" i="2"/>
  <c r="D30" i="2" s="1"/>
  <c r="E30" i="2" s="1"/>
  <c r="B50" i="13"/>
  <c r="C32" i="2"/>
  <c r="D32" i="2" s="1"/>
  <c r="E32" i="2" s="1"/>
  <c r="C135" i="15"/>
  <c r="C136" i="15" s="1"/>
  <c r="C137" i="15" s="1"/>
  <c r="C138" i="15" s="1"/>
  <c r="C139" i="15" s="1"/>
  <c r="C140" i="15" s="1"/>
  <c r="C141" i="15" s="1"/>
  <c r="C142" i="15" s="1"/>
  <c r="C143" i="15" s="1"/>
  <c r="C144" i="15" s="1"/>
  <c r="C145" i="15" s="1"/>
  <c r="C146" i="15" s="1"/>
  <c r="C147" i="15" s="1"/>
  <c r="C148" i="15" s="1"/>
  <c r="C149" i="15" s="1"/>
  <c r="C150" i="15" s="1"/>
  <c r="C151" i="15" s="1"/>
  <c r="C152" i="15" s="1"/>
  <c r="C153" i="15" s="1"/>
  <c r="C154" i="15" s="1"/>
  <c r="C155" i="15" s="1"/>
  <c r="C156" i="15" s="1"/>
  <c r="C157" i="15" s="1"/>
  <c r="C158" i="15" s="1"/>
  <c r="C159" i="15" s="1"/>
  <c r="C160" i="15" s="1"/>
  <c r="C161" i="15" s="1"/>
  <c r="C162" i="15" s="1"/>
  <c r="C163" i="15" s="1"/>
  <c r="C164" i="15" s="1"/>
  <c r="C165" i="15" s="1"/>
  <c r="C166" i="15" s="1"/>
  <c r="C167" i="15" s="1"/>
  <c r="C168" i="15" s="1"/>
  <c r="C169" i="15" s="1"/>
  <c r="C170" i="15" s="1"/>
  <c r="C171" i="15" s="1"/>
  <c r="C172" i="15" s="1"/>
  <c r="C173" i="15" s="1"/>
  <c r="C174" i="15" s="1"/>
  <c r="C175" i="15" s="1"/>
  <c r="C176" i="15" s="1"/>
  <c r="C177" i="15" s="1"/>
  <c r="C178" i="15" s="1"/>
  <c r="C179" i="15" s="1"/>
  <c r="C180" i="15" s="1"/>
  <c r="C181" i="15" s="1"/>
  <c r="C182" i="15" s="1"/>
  <c r="C183" i="15" s="1"/>
  <c r="C184" i="15" s="1"/>
  <c r="C185" i="15" s="1"/>
  <c r="C186" i="15" s="1"/>
  <c r="C187" i="15" s="1"/>
  <c r="C188" i="15" s="1"/>
  <c r="C189" i="15" s="1"/>
  <c r="C190" i="15" s="1"/>
  <c r="C191" i="15" s="1"/>
  <c r="C192" i="15" s="1"/>
  <c r="C193" i="15" s="1"/>
  <c r="C194" i="15" s="1"/>
  <c r="C195" i="15" s="1"/>
  <c r="C196" i="15" s="1"/>
  <c r="C197" i="15" s="1"/>
  <c r="C198" i="15" s="1"/>
  <c r="C199" i="15" s="1"/>
  <c r="C200" i="15" s="1"/>
  <c r="C201" i="15" s="1"/>
  <c r="C202" i="15" s="1"/>
  <c r="C203" i="15" s="1"/>
  <c r="C204" i="15" s="1"/>
  <c r="C205" i="15" s="1"/>
  <c r="C206" i="15" s="1"/>
  <c r="C207" i="15" s="1"/>
  <c r="C208" i="15" s="1"/>
  <c r="C209" i="15" s="1"/>
  <c r="C210" i="15" s="1"/>
  <c r="C211" i="15" s="1"/>
  <c r="C212" i="15" s="1"/>
  <c r="C213" i="15" s="1"/>
  <c r="C214" i="15" s="1"/>
  <c r="C215" i="15" s="1"/>
  <c r="C216" i="15" s="1"/>
  <c r="D216" i="15" s="1"/>
  <c r="E29" i="2"/>
  <c r="H29" i="2"/>
  <c r="G33" i="2"/>
  <c r="J16" i="12"/>
  <c r="F11" i="2"/>
  <c r="B34" i="13"/>
  <c r="B38" i="17"/>
  <c r="B30" i="17"/>
  <c r="D21" i="16"/>
  <c r="E65" i="16"/>
  <c r="B65" i="16" s="1"/>
  <c r="G38" i="16"/>
  <c r="H38" i="16"/>
  <c r="H22" i="16"/>
  <c r="G22" i="16"/>
  <c r="C38" i="16"/>
  <c r="H6" i="16"/>
  <c r="D38" i="16"/>
  <c r="C22" i="16"/>
  <c r="B29" i="16" s="1"/>
  <c r="D22" i="16"/>
  <c r="G30" i="16"/>
  <c r="G20" i="2" s="1"/>
  <c r="G23" i="2" s="1"/>
  <c r="H30" i="16"/>
  <c r="G31" i="16"/>
  <c r="H31" i="16"/>
  <c r="D31" i="16"/>
  <c r="C31" i="16"/>
  <c r="C30" i="16"/>
  <c r="C20" i="2" s="1"/>
  <c r="C23" i="2" s="1"/>
  <c r="D30" i="16"/>
  <c r="E48" i="17"/>
  <c r="B48" i="17"/>
  <c r="G91" i="17"/>
  <c r="G92" i="17" s="1"/>
  <c r="G93" i="17" s="1"/>
  <c r="G94" i="17" s="1"/>
  <c r="G95" i="17" s="1"/>
  <c r="G96" i="17" s="1"/>
  <c r="G97" i="17" s="1"/>
  <c r="G98" i="17" s="1"/>
  <c r="G99" i="17" s="1"/>
  <c r="G100" i="17" s="1"/>
  <c r="G101" i="17" s="1"/>
  <c r="G102" i="17" s="1"/>
  <c r="G103" i="17" s="1"/>
  <c r="G104" i="17" s="1"/>
  <c r="G105" i="17" s="1"/>
  <c r="G106" i="17" s="1"/>
  <c r="G107" i="17" s="1"/>
  <c r="G108" i="17" s="1"/>
  <c r="G109" i="17" s="1"/>
  <c r="G110" i="17" s="1"/>
  <c r="G111" i="17" s="1"/>
  <c r="G112" i="17" s="1"/>
  <c r="G113" i="17" s="1"/>
  <c r="G114" i="17" s="1"/>
  <c r="G115" i="17" s="1"/>
  <c r="G116" i="17" s="1"/>
  <c r="G117" i="17" s="1"/>
  <c r="G118" i="17" s="1"/>
  <c r="G119" i="17" s="1"/>
  <c r="G120" i="17" s="1"/>
  <c r="G121" i="17" s="1"/>
  <c r="G122" i="17" s="1"/>
  <c r="G123" i="17" s="1"/>
  <c r="G124" i="17" s="1"/>
  <c r="G125" i="17" s="1"/>
  <c r="G126" i="17" s="1"/>
  <c r="G127" i="17" s="1"/>
  <c r="G128" i="17" s="1"/>
  <c r="G129" i="17" s="1"/>
  <c r="G130" i="17" s="1"/>
  <c r="G131" i="17" s="1"/>
  <c r="G132" i="17" s="1"/>
  <c r="G133" i="17" s="1"/>
  <c r="G134" i="17" s="1"/>
  <c r="G135" i="17" s="1"/>
  <c r="G136" i="17" s="1"/>
  <c r="G137" i="17" s="1"/>
  <c r="G138" i="17" s="1"/>
  <c r="G139" i="17" s="1"/>
  <c r="G140" i="17" s="1"/>
  <c r="G141" i="17" s="1"/>
  <c r="G142" i="17" s="1"/>
  <c r="G143" i="17" s="1"/>
  <c r="G144" i="17" s="1"/>
  <c r="G145" i="17" s="1"/>
  <c r="G146" i="17" s="1"/>
  <c r="G147" i="17" s="1"/>
  <c r="G148" i="17" s="1"/>
  <c r="G149" i="17" s="1"/>
  <c r="G150" i="17" s="1"/>
  <c r="G151" i="17" s="1"/>
  <c r="G152" i="17" s="1"/>
  <c r="G153" i="17" s="1"/>
  <c r="G154" i="17" s="1"/>
  <c r="G155" i="17" s="1"/>
  <c r="G156" i="17" s="1"/>
  <c r="G157" i="17" s="1"/>
  <c r="G158" i="17" s="1"/>
  <c r="G159" i="17" s="1"/>
  <c r="G160" i="17" s="1"/>
  <c r="G161" i="17" s="1"/>
  <c r="G162" i="17" s="1"/>
  <c r="G163" i="17" s="1"/>
  <c r="G164" i="17" s="1"/>
  <c r="G165" i="17" s="1"/>
  <c r="G166" i="17" s="1"/>
  <c r="G167" i="17" s="1"/>
  <c r="G168" i="17" s="1"/>
  <c r="G169" i="17" s="1"/>
  <c r="G170" i="17" s="1"/>
  <c r="G171" i="17" s="1"/>
  <c r="G172" i="17" s="1"/>
  <c r="H172" i="17" s="1"/>
  <c r="B172" i="17"/>
  <c r="J10" i="17"/>
  <c r="E31" i="17"/>
  <c r="B47" i="17"/>
  <c r="B31" i="17"/>
  <c r="F165" i="17"/>
  <c r="F153" i="17"/>
  <c r="F141" i="17"/>
  <c r="F129" i="17"/>
  <c r="F117" i="17"/>
  <c r="F105" i="17"/>
  <c r="F93" i="17"/>
  <c r="F164" i="17"/>
  <c r="F152" i="17"/>
  <c r="F140" i="17"/>
  <c r="F128" i="17"/>
  <c r="F116" i="17"/>
  <c r="F104" i="17"/>
  <c r="F92" i="17"/>
  <c r="E39" i="17"/>
  <c r="F154" i="17"/>
  <c r="F130" i="17"/>
  <c r="F163" i="17"/>
  <c r="F151" i="17"/>
  <c r="F139" i="17"/>
  <c r="F127" i="17"/>
  <c r="F115" i="17"/>
  <c r="F103" i="17"/>
  <c r="F91" i="17"/>
  <c r="B40" i="17"/>
  <c r="F106" i="17"/>
  <c r="B72" i="17"/>
  <c r="F162" i="17"/>
  <c r="F150" i="17"/>
  <c r="F138" i="17"/>
  <c r="F126" i="17"/>
  <c r="F114" i="17"/>
  <c r="F102" i="17"/>
  <c r="E40" i="17"/>
  <c r="F142" i="17"/>
  <c r="F161" i="17"/>
  <c r="F149" i="17"/>
  <c r="F137" i="17"/>
  <c r="F125" i="17"/>
  <c r="F113" i="17"/>
  <c r="F101" i="17"/>
  <c r="B39" i="17"/>
  <c r="F94" i="17"/>
  <c r="F172" i="17"/>
  <c r="F160" i="17"/>
  <c r="F148" i="17"/>
  <c r="F136" i="17"/>
  <c r="F124" i="17"/>
  <c r="F112" i="17"/>
  <c r="F100" i="17"/>
  <c r="F118" i="17"/>
  <c r="F171" i="17"/>
  <c r="F159" i="17"/>
  <c r="F147" i="17"/>
  <c r="F135" i="17"/>
  <c r="F123" i="17"/>
  <c r="F111" i="17"/>
  <c r="F99" i="17"/>
  <c r="F166" i="17"/>
  <c r="F170" i="17"/>
  <c r="F158" i="17"/>
  <c r="F146" i="17"/>
  <c r="F134" i="17"/>
  <c r="F122" i="17"/>
  <c r="F110" i="17"/>
  <c r="F98" i="17"/>
  <c r="F169" i="17"/>
  <c r="F157" i="17"/>
  <c r="F145" i="17"/>
  <c r="F133" i="17"/>
  <c r="F121" i="17"/>
  <c r="F109" i="17"/>
  <c r="F97" i="17"/>
  <c r="F168" i="17"/>
  <c r="F156" i="17"/>
  <c r="F144" i="17"/>
  <c r="F132" i="17"/>
  <c r="F120" i="17"/>
  <c r="F108" i="17"/>
  <c r="F96" i="17"/>
  <c r="F167" i="17"/>
  <c r="F155" i="17"/>
  <c r="F143" i="17"/>
  <c r="F131" i="17"/>
  <c r="F119" i="17"/>
  <c r="F107" i="17"/>
  <c r="F95" i="17"/>
  <c r="E71" i="17"/>
  <c r="B71" i="17" s="1"/>
  <c r="D137" i="15" l="1"/>
  <c r="D139" i="15"/>
  <c r="E136" i="15"/>
  <c r="D145" i="15"/>
  <c r="D166" i="15"/>
  <c r="D162" i="15"/>
  <c r="D141" i="15"/>
  <c r="D135" i="15"/>
  <c r="E211" i="15"/>
  <c r="D158" i="15"/>
  <c r="E177" i="15"/>
  <c r="E207" i="15"/>
  <c r="E163" i="15"/>
  <c r="E159" i="15"/>
  <c r="D213" i="15"/>
  <c r="D152" i="15"/>
  <c r="E157" i="15"/>
  <c r="E214" i="15"/>
  <c r="D165" i="15"/>
  <c r="D144" i="15"/>
  <c r="E196" i="15"/>
  <c r="D182" i="15"/>
  <c r="D161" i="15"/>
  <c r="D140" i="15"/>
  <c r="E192" i="15"/>
  <c r="D200" i="15"/>
  <c r="E169" i="15"/>
  <c r="D178" i="15"/>
  <c r="D157" i="15"/>
  <c r="D136" i="15"/>
  <c r="E148" i="15"/>
  <c r="D209" i="15"/>
  <c r="D148" i="15"/>
  <c r="D174" i="15"/>
  <c r="D153" i="15"/>
  <c r="D187" i="15"/>
  <c r="E144" i="15"/>
  <c r="D150" i="15"/>
  <c r="D196" i="15"/>
  <c r="E161" i="15"/>
  <c r="D170" i="15"/>
  <c r="D149" i="15"/>
  <c r="D183" i="15"/>
  <c r="E140" i="15"/>
  <c r="C33" i="2"/>
  <c r="E33" i="2"/>
  <c r="D33" i="2"/>
  <c r="D205" i="15"/>
  <c r="D192" i="15"/>
  <c r="D179" i="15"/>
  <c r="E170" i="15"/>
  <c r="E165" i="15"/>
  <c r="E198" i="15"/>
  <c r="E188" i="15"/>
  <c r="E203" i="15"/>
  <c r="E155" i="15"/>
  <c r="D214" i="15"/>
  <c r="D201" i="15"/>
  <c r="D188" i="15"/>
  <c r="D175" i="15"/>
  <c r="E206" i="15"/>
  <c r="E182" i="15"/>
  <c r="E184" i="15"/>
  <c r="E199" i="15"/>
  <c r="E151" i="15"/>
  <c r="D210" i="15"/>
  <c r="D197" i="15"/>
  <c r="D184" i="15"/>
  <c r="D171" i="15"/>
  <c r="E190" i="15"/>
  <c r="E153" i="15"/>
  <c r="E162" i="15"/>
  <c r="E180" i="15"/>
  <c r="E194" i="15"/>
  <c r="E195" i="15"/>
  <c r="E147" i="15"/>
  <c r="D206" i="15"/>
  <c r="D193" i="15"/>
  <c r="D180" i="15"/>
  <c r="D215" i="15"/>
  <c r="D167" i="15"/>
  <c r="E178" i="15"/>
  <c r="E149" i="15"/>
  <c r="E146" i="15"/>
  <c r="E176" i="15"/>
  <c r="E174" i="15"/>
  <c r="E191" i="15"/>
  <c r="E143" i="15"/>
  <c r="D202" i="15"/>
  <c r="D154" i="15"/>
  <c r="D189" i="15"/>
  <c r="D176" i="15"/>
  <c r="D211" i="15"/>
  <c r="D163" i="15"/>
  <c r="E158" i="15"/>
  <c r="E145" i="15"/>
  <c r="E205" i="15"/>
  <c r="E172" i="15"/>
  <c r="E154" i="15"/>
  <c r="E187" i="15"/>
  <c r="E139" i="15"/>
  <c r="D198" i="15"/>
  <c r="D185" i="15"/>
  <c r="D172" i="15"/>
  <c r="D207" i="15"/>
  <c r="D159" i="15"/>
  <c r="E150" i="15"/>
  <c r="E141" i="15"/>
  <c r="E216" i="15"/>
  <c r="E168" i="15"/>
  <c r="E138" i="15"/>
  <c r="E183" i="15"/>
  <c r="E135" i="15"/>
  <c r="D194" i="15"/>
  <c r="D146" i="15"/>
  <c r="D181" i="15"/>
  <c r="D168" i="15"/>
  <c r="D203" i="15"/>
  <c r="D155" i="15"/>
  <c r="E142" i="15"/>
  <c r="E137" i="15"/>
  <c r="E212" i="15"/>
  <c r="E164" i="15"/>
  <c r="E193" i="15"/>
  <c r="E179" i="15"/>
  <c r="E202" i="15"/>
  <c r="D190" i="15"/>
  <c r="D142" i="15"/>
  <c r="D177" i="15"/>
  <c r="D212" i="15"/>
  <c r="D164" i="15"/>
  <c r="D199" i="15"/>
  <c r="D151" i="15"/>
  <c r="E213" i="15"/>
  <c r="E201" i="15"/>
  <c r="E208" i="15"/>
  <c r="E160" i="15"/>
  <c r="E210" i="15"/>
  <c r="E175" i="15"/>
  <c r="E186" i="15"/>
  <c r="D186" i="15"/>
  <c r="D138" i="15"/>
  <c r="D173" i="15"/>
  <c r="D208" i="15"/>
  <c r="D160" i="15"/>
  <c r="D195" i="15"/>
  <c r="D147" i="15"/>
  <c r="E197" i="15"/>
  <c r="E185" i="15"/>
  <c r="E204" i="15"/>
  <c r="E156" i="15"/>
  <c r="E189" i="15"/>
  <c r="E171" i="15"/>
  <c r="E166" i="15"/>
  <c r="D169" i="15"/>
  <c r="D204" i="15"/>
  <c r="D156" i="15"/>
  <c r="D191" i="15"/>
  <c r="D143" i="15"/>
  <c r="E181" i="15"/>
  <c r="E173" i="15"/>
  <c r="E200" i="15"/>
  <c r="E152" i="15"/>
  <c r="E215" i="15"/>
  <c r="E167" i="15"/>
  <c r="E209" i="15"/>
  <c r="H33" i="2"/>
  <c r="I29" i="2"/>
  <c r="I33" i="2" s="1"/>
  <c r="H91" i="17"/>
  <c r="G24" i="2"/>
  <c r="H24" i="2" s="1"/>
  <c r="I24" i="2" s="1"/>
  <c r="C23" i="16"/>
  <c r="D23" i="16"/>
  <c r="C24" i="2"/>
  <c r="D24" i="2" s="1"/>
  <c r="E24" i="2" s="1"/>
  <c r="D39" i="16"/>
  <c r="C39" i="16"/>
  <c r="D32" i="16"/>
  <c r="D20" i="2"/>
  <c r="D23" i="2" s="1"/>
  <c r="C32" i="16"/>
  <c r="E20" i="2" s="1"/>
  <c r="E23" i="2" s="1"/>
  <c r="H23" i="16"/>
  <c r="G23" i="16"/>
  <c r="H32" i="16"/>
  <c r="G32" i="16"/>
  <c r="I20" i="2" s="1"/>
  <c r="I23" i="2" s="1"/>
  <c r="H20" i="2"/>
  <c r="H23" i="2" s="1"/>
  <c r="H39" i="16"/>
  <c r="G39" i="16"/>
  <c r="H115" i="17"/>
  <c r="H106" i="17"/>
  <c r="H143" i="17"/>
  <c r="H130" i="17"/>
  <c r="H97" i="17"/>
  <c r="H122" i="17"/>
  <c r="H140" i="17"/>
  <c r="H105" i="17"/>
  <c r="H103" i="17"/>
  <c r="H152" i="17"/>
  <c r="H118" i="17"/>
  <c r="H155" i="17"/>
  <c r="H137" i="17"/>
  <c r="H134" i="17"/>
  <c r="H171" i="17"/>
  <c r="H109" i="17"/>
  <c r="H158" i="17"/>
  <c r="H100" i="17"/>
  <c r="H167" i="17"/>
  <c r="H127" i="17"/>
  <c r="H125" i="17"/>
  <c r="H142" i="17"/>
  <c r="B41" i="17"/>
  <c r="E41" i="17"/>
  <c r="H139" i="17"/>
  <c r="H93" i="17"/>
  <c r="H154" i="17"/>
  <c r="H161" i="17"/>
  <c r="H121" i="17"/>
  <c r="H170" i="17"/>
  <c r="H112" i="17"/>
  <c r="H102" i="17"/>
  <c r="H166" i="17"/>
  <c r="H96" i="17"/>
  <c r="H133" i="17"/>
  <c r="H124" i="17"/>
  <c r="H151" i="17"/>
  <c r="H114" i="17"/>
  <c r="H163" i="17"/>
  <c r="H117" i="17"/>
  <c r="H149" i="17"/>
  <c r="H108" i="17"/>
  <c r="H145" i="17"/>
  <c r="E172" i="17"/>
  <c r="B171" i="17"/>
  <c r="H136" i="17"/>
  <c r="H159" i="17"/>
  <c r="H126" i="17"/>
  <c r="H101" i="17"/>
  <c r="H129" i="17"/>
  <c r="D172" i="17"/>
  <c r="H120" i="17"/>
  <c r="H157" i="17"/>
  <c r="H99" i="17"/>
  <c r="H148" i="17"/>
  <c r="H138" i="17"/>
  <c r="H92" i="17"/>
  <c r="H141" i="17"/>
  <c r="H95" i="17"/>
  <c r="H132" i="17"/>
  <c r="H169" i="17"/>
  <c r="H111" i="17"/>
  <c r="H160" i="17"/>
  <c r="H164" i="17"/>
  <c r="H150" i="17"/>
  <c r="H104" i="17"/>
  <c r="H153" i="17"/>
  <c r="H107" i="17"/>
  <c r="H144" i="17"/>
  <c r="H113" i="17"/>
  <c r="H123" i="17"/>
  <c r="B32" i="17"/>
  <c r="E32" i="17"/>
  <c r="H146" i="17"/>
  <c r="F38" i="17"/>
  <c r="H162" i="17"/>
  <c r="H116" i="17"/>
  <c r="H165" i="17"/>
  <c r="H119" i="17"/>
  <c r="H156" i="17"/>
  <c r="H98" i="17"/>
  <c r="H135" i="17"/>
  <c r="H128" i="17"/>
  <c r="H94" i="17"/>
  <c r="H131" i="17"/>
  <c r="H168" i="17"/>
  <c r="H110" i="17"/>
  <c r="H147" i="17"/>
  <c r="D181" i="17"/>
  <c r="E177" i="17"/>
  <c r="E188" i="17"/>
  <c r="E189" i="17"/>
  <c r="E176" i="17"/>
  <c r="E184" i="17"/>
  <c r="E49" i="17"/>
  <c r="E50" i="17"/>
  <c r="H174" i="17" s="1"/>
  <c r="E185" i="17"/>
  <c r="B49" i="17"/>
  <c r="B50" i="17"/>
  <c r="H187" i="17" l="1"/>
  <c r="H183" i="17"/>
  <c r="D41" i="16"/>
  <c r="D40" i="16"/>
  <c r="C40" i="16"/>
  <c r="C41" i="16"/>
  <c r="H40" i="16"/>
  <c r="H41" i="16"/>
  <c r="G41" i="16"/>
  <c r="G40" i="16"/>
  <c r="H25" i="2"/>
  <c r="H35" i="2" s="1"/>
  <c r="H39" i="2" s="1"/>
  <c r="I25" i="2"/>
  <c r="I35" i="2" s="1"/>
  <c r="I39" i="2" s="1"/>
  <c r="C25" i="2"/>
  <c r="H24" i="16"/>
  <c r="G24" i="16"/>
  <c r="D24" i="16"/>
  <c r="C24" i="16"/>
  <c r="E25" i="2"/>
  <c r="E35" i="2" s="1"/>
  <c r="E39" i="2" s="1"/>
  <c r="G25" i="2"/>
  <c r="G35" i="2" s="1"/>
  <c r="G39" i="2" s="1"/>
  <c r="E51" i="17"/>
  <c r="B51" i="17"/>
  <c r="E33" i="17"/>
  <c r="B33" i="17"/>
  <c r="B170" i="17"/>
  <c r="E171" i="17"/>
  <c r="D171" i="17"/>
  <c r="G129" i="15" l="1"/>
  <c r="J13" i="11"/>
  <c r="J10" i="11"/>
  <c r="J11" i="11"/>
  <c r="J8" i="11"/>
  <c r="J7" i="11"/>
  <c r="F10" i="11"/>
  <c r="F13" i="11"/>
  <c r="F11" i="11"/>
  <c r="S73" i="15"/>
  <c r="S72" i="15"/>
  <c r="S69" i="15"/>
  <c r="S70" i="15"/>
  <c r="S68" i="15"/>
  <c r="S74" i="15"/>
  <c r="R70" i="15"/>
  <c r="R73" i="15"/>
  <c r="R72" i="15"/>
  <c r="R69" i="15"/>
  <c r="R68" i="15"/>
  <c r="R74" i="15"/>
  <c r="D91" i="15"/>
  <c r="G91" i="15" s="1"/>
  <c r="J91" i="15" s="1"/>
  <c r="S71" i="15"/>
  <c r="R71" i="15"/>
  <c r="H28" i="1"/>
  <c r="D68" i="15"/>
  <c r="D73" i="15"/>
  <c r="D95" i="15"/>
  <c r="G95" i="15" s="1"/>
  <c r="J95" i="15" s="1"/>
  <c r="D96" i="15"/>
  <c r="G96" i="15" s="1"/>
  <c r="J96" i="15" s="1"/>
  <c r="I18" i="12"/>
  <c r="D72" i="15"/>
  <c r="D94" i="15"/>
  <c r="G94" i="15" s="1"/>
  <c r="J94" i="15" s="1"/>
  <c r="D49" i="15"/>
  <c r="D71" i="15"/>
  <c r="D48" i="15"/>
  <c r="D70" i="15"/>
  <c r="D98" i="15"/>
  <c r="G98" i="15" s="1"/>
  <c r="J98" i="15" s="1"/>
  <c r="H42" i="16"/>
  <c r="G42" i="16"/>
  <c r="D46" i="15"/>
  <c r="D89" i="15"/>
  <c r="G89" i="15" s="1"/>
  <c r="J89" i="15" s="1"/>
  <c r="D92" i="15"/>
  <c r="G92" i="15" s="1"/>
  <c r="J92" i="15" s="1"/>
  <c r="D74" i="15"/>
  <c r="D50" i="15"/>
  <c r="D97" i="15"/>
  <c r="G97" i="15" s="1"/>
  <c r="J97" i="15" s="1"/>
  <c r="D93" i="15"/>
  <c r="G93" i="15" s="1"/>
  <c r="J93" i="15" s="1"/>
  <c r="C42" i="16"/>
  <c r="D42" i="16"/>
  <c r="D47" i="15"/>
  <c r="D51" i="15"/>
  <c r="H47" i="2"/>
  <c r="D10" i="15"/>
  <c r="D28" i="15"/>
  <c r="D90" i="15"/>
  <c r="G90" i="15" s="1"/>
  <c r="J90" i="15" s="1"/>
  <c r="D88" i="15"/>
  <c r="G88" i="15" s="1"/>
  <c r="J88" i="15" s="1"/>
  <c r="D52" i="15"/>
  <c r="D69" i="15"/>
  <c r="D13" i="15"/>
  <c r="D30" i="15"/>
  <c r="D12" i="15"/>
  <c r="D9" i="15"/>
  <c r="D31" i="15"/>
  <c r="D26" i="15"/>
  <c r="H45" i="2"/>
  <c r="D27" i="15"/>
  <c r="D7" i="15"/>
  <c r="D8" i="15"/>
  <c r="D25" i="15"/>
  <c r="D29" i="15"/>
  <c r="D11" i="15"/>
  <c r="C28" i="15"/>
  <c r="C95" i="15"/>
  <c r="F95" i="15" s="1"/>
  <c r="I95" i="15" s="1"/>
  <c r="C71" i="15"/>
  <c r="C50" i="15"/>
  <c r="C91" i="15"/>
  <c r="F91" i="15" s="1"/>
  <c r="I91" i="15" s="1"/>
  <c r="C93" i="15"/>
  <c r="F93" i="15" s="1"/>
  <c r="I93" i="15" s="1"/>
  <c r="C10" i="15"/>
  <c r="D47" i="2"/>
  <c r="C98" i="15"/>
  <c r="F98" i="15" s="1"/>
  <c r="I98" i="15" s="1"/>
  <c r="C96" i="15"/>
  <c r="F96" i="15" s="1"/>
  <c r="I96" i="15" s="1"/>
  <c r="C69" i="15"/>
  <c r="C73" i="15"/>
  <c r="C48" i="15"/>
  <c r="C52" i="15"/>
  <c r="E18" i="12"/>
  <c r="C51" i="15"/>
  <c r="C49" i="15"/>
  <c r="C94" i="15"/>
  <c r="F94" i="15" s="1"/>
  <c r="I94" i="15" s="1"/>
  <c r="C74" i="15"/>
  <c r="C88" i="15"/>
  <c r="F88" i="15" s="1"/>
  <c r="I88" i="15" s="1"/>
  <c r="C46" i="15"/>
  <c r="C47" i="15"/>
  <c r="C70" i="15"/>
  <c r="C72" i="15"/>
  <c r="C68" i="15"/>
  <c r="C90" i="15"/>
  <c r="F90" i="15" s="1"/>
  <c r="I90" i="15" s="1"/>
  <c r="E28" i="1"/>
  <c r="C92" i="15"/>
  <c r="F92" i="15" s="1"/>
  <c r="I92" i="15" s="1"/>
  <c r="C89" i="15"/>
  <c r="F89" i="15" s="1"/>
  <c r="I89" i="15" s="1"/>
  <c r="C97" i="15"/>
  <c r="F97" i="15" s="1"/>
  <c r="I97" i="15" s="1"/>
  <c r="C35" i="2"/>
  <c r="C39" i="2" s="1"/>
  <c r="D25" i="2"/>
  <c r="D35" i="2" s="1"/>
  <c r="D39" i="2" s="1"/>
  <c r="B169" i="17"/>
  <c r="E170" i="17"/>
  <c r="D170" i="17"/>
  <c r="F8" i="11" l="1"/>
  <c r="F7" i="11"/>
  <c r="H22" i="1"/>
  <c r="H51" i="2"/>
  <c r="C29" i="15"/>
  <c r="C30" i="15"/>
  <c r="C12" i="15"/>
  <c r="D45" i="2"/>
  <c r="C9" i="15"/>
  <c r="C13" i="15"/>
  <c r="C11" i="15"/>
  <c r="C7" i="15"/>
  <c r="C26" i="15"/>
  <c r="C25" i="15"/>
  <c r="C8" i="15"/>
  <c r="C27" i="15"/>
  <c r="C31" i="15"/>
  <c r="E169" i="17"/>
  <c r="B168" i="17"/>
  <c r="D169" i="17"/>
  <c r="D51" i="2" l="1"/>
  <c r="E22" i="1"/>
  <c r="B58" i="13" s="1"/>
  <c r="E168" i="17"/>
  <c r="D168" i="17"/>
  <c r="B167" i="17"/>
  <c r="B166" i="17" l="1"/>
  <c r="D167" i="17"/>
  <c r="E167" i="17"/>
  <c r="D166" i="17" l="1"/>
  <c r="B165" i="17"/>
  <c r="E166" i="17"/>
  <c r="D165" i="17" l="1"/>
  <c r="E165" i="17"/>
  <c r="B164" i="17"/>
  <c r="E164" i="17" l="1"/>
  <c r="B163" i="17"/>
  <c r="D164" i="17"/>
  <c r="D163" i="17" l="1"/>
  <c r="B162" i="17"/>
  <c r="E163" i="17"/>
  <c r="D162" i="17" l="1"/>
  <c r="B161" i="17"/>
  <c r="E162" i="17"/>
  <c r="E161" i="17" l="1"/>
  <c r="B160" i="17"/>
  <c r="D161" i="17"/>
  <c r="E160" i="17" l="1"/>
  <c r="B159" i="17"/>
  <c r="D160" i="17"/>
  <c r="D159" i="17" l="1"/>
  <c r="B158" i="17"/>
  <c r="E159" i="17"/>
  <c r="D158" i="17" l="1"/>
  <c r="E158" i="17"/>
  <c r="B157" i="17"/>
  <c r="B156" i="17" l="1"/>
  <c r="E157" i="17"/>
  <c r="D157" i="17"/>
  <c r="D156" i="17" l="1"/>
  <c r="E156" i="17"/>
  <c r="B155" i="17"/>
  <c r="E155" i="17" l="1"/>
  <c r="B154" i="17"/>
  <c r="D155" i="17"/>
  <c r="E154" i="17" l="1"/>
  <c r="B153" i="17"/>
  <c r="D154" i="17"/>
  <c r="E153" i="17" l="1"/>
  <c r="D153" i="17"/>
  <c r="B152" i="17"/>
  <c r="B151" i="17" l="1"/>
  <c r="D152" i="17"/>
  <c r="E152" i="17"/>
  <c r="D151" i="17" l="1"/>
  <c r="E151" i="17"/>
  <c r="B150" i="17"/>
  <c r="B149" i="17" l="1"/>
  <c r="E150" i="17"/>
  <c r="D150" i="17"/>
  <c r="D149" i="17" l="1"/>
  <c r="E149" i="17"/>
  <c r="B148" i="17"/>
  <c r="E148" i="17" l="1"/>
  <c r="B147" i="17"/>
  <c r="D148" i="17"/>
  <c r="D147" i="17" l="1"/>
  <c r="E147" i="17"/>
  <c r="B146" i="17"/>
  <c r="D146" i="17" l="1"/>
  <c r="E146" i="17"/>
  <c r="B145" i="17"/>
  <c r="B144" i="17" l="1"/>
  <c r="E145" i="17"/>
  <c r="D145" i="17"/>
  <c r="D144" i="17" l="1"/>
  <c r="B143" i="17"/>
  <c r="E144" i="17"/>
  <c r="E143" i="17" l="1"/>
  <c r="D143" i="17"/>
  <c r="B142" i="17"/>
  <c r="E142" i="17" l="1"/>
  <c r="D142" i="17"/>
  <c r="B141" i="17"/>
  <c r="E141" i="17" l="1"/>
  <c r="B140" i="17"/>
  <c r="D141" i="17"/>
  <c r="E140" i="17" l="1"/>
  <c r="D140" i="17"/>
  <c r="B139" i="17"/>
  <c r="D139" i="17" l="1"/>
  <c r="E139" i="17"/>
  <c r="B138" i="17"/>
  <c r="B137" i="17" l="1"/>
  <c r="D138" i="17"/>
  <c r="E138" i="17"/>
  <c r="B136" i="17" l="1"/>
  <c r="D137" i="17"/>
  <c r="E137" i="17"/>
  <c r="B135" i="17" l="1"/>
  <c r="E136" i="17"/>
  <c r="D136" i="17"/>
  <c r="D135" i="17" l="1"/>
  <c r="E135" i="17"/>
  <c r="B134" i="17"/>
  <c r="B133" i="17" l="1"/>
  <c r="D134" i="17"/>
  <c r="E134" i="17"/>
  <c r="D133" i="17" l="1"/>
  <c r="B132" i="17"/>
  <c r="E133" i="17"/>
  <c r="D132" i="17" l="1"/>
  <c r="E132" i="17"/>
  <c r="B131" i="17"/>
  <c r="B130" i="17" l="1"/>
  <c r="E131" i="17"/>
  <c r="D131" i="17"/>
  <c r="E130" i="17" l="1"/>
  <c r="D130" i="17"/>
  <c r="B129" i="17"/>
  <c r="B128" i="17" l="1"/>
  <c r="E129" i="17"/>
  <c r="D129" i="17"/>
  <c r="B127" i="17" l="1"/>
  <c r="D128" i="17"/>
  <c r="E128" i="17"/>
  <c r="B126" i="17" l="1"/>
  <c r="E127" i="17"/>
  <c r="D127" i="17"/>
  <c r="E126" i="17" l="1"/>
  <c r="B125" i="17"/>
  <c r="D126" i="17"/>
  <c r="E125" i="17" l="1"/>
  <c r="B124" i="17"/>
  <c r="D125" i="17"/>
  <c r="E124" i="17" l="1"/>
  <c r="D124" i="17"/>
  <c r="B123" i="17"/>
  <c r="E123" i="17" l="1"/>
  <c r="D123" i="17"/>
  <c r="B122" i="17"/>
  <c r="D122" i="17" l="1"/>
  <c r="B121" i="17"/>
  <c r="E122" i="17"/>
  <c r="E121" i="17" l="1"/>
  <c r="B120" i="17"/>
  <c r="D121" i="17"/>
  <c r="E120" i="17" l="1"/>
  <c r="D120" i="17"/>
  <c r="B119" i="17"/>
  <c r="D119" i="17" l="1"/>
  <c r="E119" i="17"/>
  <c r="B118" i="17"/>
  <c r="E118" i="17" l="1"/>
  <c r="D118" i="17"/>
  <c r="B117" i="17"/>
  <c r="E117" i="17" l="1"/>
  <c r="D117" i="17"/>
  <c r="B116" i="17"/>
  <c r="D116" i="17" l="1"/>
  <c r="B115" i="17"/>
  <c r="E116" i="17"/>
  <c r="E115" i="17" l="1"/>
  <c r="D115" i="17"/>
  <c r="B114" i="17"/>
  <c r="D114" i="17" l="1"/>
  <c r="B113" i="17"/>
  <c r="E114" i="17"/>
  <c r="D113" i="17" l="1"/>
  <c r="B112" i="17"/>
  <c r="E113" i="17"/>
  <c r="B111" i="17" l="1"/>
  <c r="E112" i="17"/>
  <c r="D112" i="17"/>
  <c r="E111" i="17" l="1"/>
  <c r="D111" i="17"/>
  <c r="B110" i="17"/>
  <c r="B109" i="17" l="1"/>
  <c r="D110" i="17"/>
  <c r="E110" i="17"/>
  <c r="B108" i="17" l="1"/>
  <c r="E109" i="17"/>
  <c r="D109" i="17"/>
  <c r="B107" i="17" l="1"/>
  <c r="D108" i="17"/>
  <c r="E108" i="17"/>
  <c r="E107" i="17" l="1"/>
  <c r="B106" i="17"/>
  <c r="D107" i="17"/>
  <c r="B105" i="17" l="1"/>
  <c r="E106" i="17"/>
  <c r="D106" i="17"/>
  <c r="E105" i="17" l="1"/>
  <c r="D105" i="17"/>
  <c r="B104" i="17"/>
  <c r="E104" i="17" l="1"/>
  <c r="B103" i="17"/>
  <c r="D104" i="17"/>
  <c r="D103" i="17" l="1"/>
  <c r="E103" i="17"/>
  <c r="B102" i="17"/>
  <c r="D102" i="17" l="1"/>
  <c r="E102" i="17"/>
  <c r="B101" i="17"/>
  <c r="D101" i="17" l="1"/>
  <c r="B100" i="17"/>
  <c r="E101" i="17"/>
  <c r="B99" i="17" l="1"/>
  <c r="D100" i="17"/>
  <c r="E100" i="17"/>
  <c r="E99" i="17" l="1"/>
  <c r="D99" i="17"/>
  <c r="B98" i="17"/>
  <c r="D98" i="17" l="1"/>
  <c r="B97" i="17"/>
  <c r="E98" i="17"/>
  <c r="B96" i="17" l="1"/>
  <c r="E97" i="17"/>
  <c r="D97" i="17"/>
  <c r="E96" i="17" l="1"/>
  <c r="D96" i="17"/>
  <c r="B95" i="17"/>
  <c r="B94" i="17" l="1"/>
  <c r="E95" i="17"/>
  <c r="D95" i="17"/>
  <c r="D94" i="17" l="1"/>
  <c r="B93" i="17"/>
  <c r="E94" i="17"/>
  <c r="E93" i="17" l="1"/>
  <c r="D93" i="17"/>
  <c r="B92" i="17"/>
  <c r="E92" i="17" l="1"/>
  <c r="D92" i="17"/>
  <c r="B91" i="17"/>
  <c r="E91" i="17" l="1"/>
  <c r="D9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Arnott, Roy (ARD)</author>
  </authors>
  <commentList>
    <comment ref="C4" authorId="0" shapeId="0" xr:uid="{00000000-0006-0000-0300-000001000000}">
      <text>
        <r>
          <rPr>
            <sz val="9"/>
            <color indexed="81"/>
            <rFont val="Tahoma"/>
            <family val="2"/>
          </rPr>
          <t xml:space="preserve">Coverage for Pasture Days Insurance is based on historic grazing period data obtained from Manitoba Community Pastures. New participants receive the historic grazing period (134 days) as their coverage, which is adjusted based on their actual experience for subsequent years. Producers in the program for more than 2 years should contact their MASC Service Center for help in calculating their actual expected grazing days. 
The grazing period includes the time livestock spent on actual pasture and does not include grazing hay fields or stubble fields. An individual 10-year average will be developed for future years coverage based on each producer’s individual annual grazing period and animal units on pasture.
Coverage begins when your cattle are put on pasture, but in any event, no sooner than </t>
        </r>
        <r>
          <rPr>
            <b/>
            <sz val="9"/>
            <color indexed="81"/>
            <rFont val="Tahoma"/>
            <family val="2"/>
          </rPr>
          <t>May 1.</t>
        </r>
      </text>
    </comment>
    <comment ref="C5" authorId="0" shapeId="0" xr:uid="{00000000-0006-0000-0300-000002000000}">
      <text>
        <r>
          <rPr>
            <sz val="9"/>
            <color indexed="81"/>
            <rFont val="Tahoma"/>
            <family val="2"/>
          </rPr>
          <t>The coverage level for Pasture Days Insurance is set at 90 per cent of normal AU Days, meaning a claim is paid if the actual grazing period is less than 90 per cent of the insured’s calculated AU Days.</t>
        </r>
      </text>
    </comment>
    <comment ref="C10" authorId="0" shapeId="0" xr:uid="{00000000-0006-0000-0300-000003000000}">
      <text>
        <r>
          <rPr>
            <sz val="9"/>
            <color indexed="81"/>
            <rFont val="Tahoma"/>
            <family val="2"/>
          </rPr>
          <t>Premium costs are shared 40 per cent by the producer, 36 per cent by the Government of Canada, and 24 per cent by the Province of Manitoba.</t>
        </r>
      </text>
    </comment>
    <comment ref="C17" authorId="0" shapeId="0" xr:uid="{00000000-0006-0000-0300-000004000000}">
      <text>
        <r>
          <rPr>
            <sz val="9"/>
            <color indexed="81"/>
            <rFont val="Tahoma"/>
            <family val="2"/>
          </rPr>
          <t>The livestock numbers, pasture acres, and the date livestock were placed on pasture must be reported on a Pasture Days Spring Declaration by June 30.</t>
        </r>
      </text>
    </comment>
    <comment ref="D17" authorId="0" shapeId="0" xr:uid="{00000000-0006-0000-0300-000005000000}">
      <text>
        <r>
          <rPr>
            <sz val="9"/>
            <color indexed="81"/>
            <rFont val="Tahoma"/>
            <family val="2"/>
          </rPr>
          <t>MASC requires a minimum total of 30 'Animal Units' (AU) of eligible livestock types on pasture.</t>
        </r>
      </text>
    </comment>
    <comment ref="B36" authorId="0" shapeId="0" xr:uid="{00000000-0006-0000-0300-000006000000}">
      <text>
        <r>
          <rPr>
            <sz val="9"/>
            <color indexed="81"/>
            <rFont val="Tahoma"/>
            <family val="2"/>
          </rPr>
          <t>A producer must inform MASC immediately of any changes to pasture acres or livestock numbers that occur throughout the year, or if supplemental feed is provided to livestock on pasture. 
The livestock winter feeding date and date the livestock are removed from pasture must be reported on a Pasture Days Fall Declaration by November 30.</t>
        </r>
      </text>
    </comment>
    <comment ref="B39" authorId="0" shapeId="0" xr:uid="{00000000-0006-0000-0300-000007000000}">
      <text>
        <r>
          <rPr>
            <sz val="9"/>
            <color indexed="81"/>
            <rFont val="Tahoma"/>
            <family val="2"/>
          </rPr>
          <t>An indemnity is issued on a producer’s claim when the actual grazing period is less than 90 per cent of the derived Animal Unit Days (22,914 in example). The producer will be paid $2.00 per Animal Unit for every shortfall day.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Roy Arnott</author>
    <author>PBlawat</author>
  </authors>
  <commentList>
    <comment ref="E8" authorId="0" shapeId="0" xr:uid="{00000000-0006-0000-0400-000001000000}">
      <text>
        <r>
          <rPr>
            <sz val="9"/>
            <color indexed="81"/>
            <rFont val="Tahoma"/>
            <family val="2"/>
          </rPr>
          <t>Verify #head pastured on aum/carrying capacity worksheet to meet the appropriate vegetative association</t>
        </r>
      </text>
    </comment>
    <comment ref="H8" authorId="0" shapeId="0" xr:uid="{00000000-0006-0000-0400-000002000000}">
      <text>
        <r>
          <rPr>
            <sz val="9"/>
            <color indexed="81"/>
            <rFont val="Tahoma"/>
            <family val="2"/>
          </rPr>
          <t>Verify #head pastured on aum/carrying capacity worksheet to meet the appropriate vegetative association</t>
        </r>
      </text>
    </comment>
    <comment ref="B34" authorId="1" shapeId="0" xr:uid="{00000000-0006-0000-0400-000003000000}">
      <text>
        <r>
          <rPr>
            <sz val="8"/>
            <color indexed="81"/>
            <rFont val="Tahoma"/>
            <family val="2"/>
          </rPr>
          <t xml:space="preserve">Minimum of 3 passes with a disc &amp; cultivator.
</t>
        </r>
      </text>
    </comment>
    <comment ref="H54" authorId="0" shapeId="0" xr:uid="{00000000-0006-0000-0400-000004000000}">
      <text>
        <r>
          <rPr>
            <sz val="9"/>
            <color indexed="81"/>
            <rFont val="Tahoma"/>
            <family val="2"/>
          </rPr>
          <t>User can select the type of nitrogen ferilizer used on their farm.  Allocation must add to 100%.</t>
        </r>
      </text>
    </comment>
    <comment ref="J54" authorId="0" shapeId="0" xr:uid="{00000000-0006-0000-0400-000005000000}">
      <text>
        <r>
          <rPr>
            <sz val="9"/>
            <color indexed="81"/>
            <rFont val="Tahoma"/>
            <family val="2"/>
          </rPr>
          <t>User can select the type of sulphur fertilizer used on their farm.  Allocation must add to 100%.</t>
        </r>
      </text>
    </comment>
    <comment ref="D83" authorId="0" shapeId="0" xr:uid="{00000000-0006-0000-0400-000006000000}">
      <text>
        <r>
          <rPr>
            <sz val="9"/>
            <color indexed="81"/>
            <rFont val="Tahoma"/>
            <family val="2"/>
          </rPr>
          <t xml:space="preserve">
glyphosate pre-seed burnoff plus broadleaf 
</t>
        </r>
      </text>
    </comment>
    <comment ref="A107" authorId="0" shapeId="0" xr:uid="{00000000-0006-0000-0400-000007000000}">
      <text>
        <r>
          <rPr>
            <sz val="9"/>
            <color indexed="81"/>
            <rFont val="Tahoma"/>
            <family val="2"/>
          </rPr>
          <t>For Custom Grazing, labour costs need to be included.  Approx. range is 0.5 to 2 hours per acre, depending on grazing system and herd health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Arnott, Roy (ARD)</author>
  </authors>
  <commentList>
    <comment ref="D8" authorId="0" shapeId="0" xr:uid="{00000000-0006-0000-0900-000001000000}">
      <text>
        <r>
          <rPr>
            <sz val="9"/>
            <color indexed="81"/>
            <rFont val="Tahoma"/>
            <family val="2"/>
          </rPr>
          <t xml:space="preserve">Coverage for Pasture Days Insurance is based on historic grazing period data obtained from Manitoba Community Pastures. New participants receive the historic grazing period (134 days) as their coverage, which is adjusted based on their actual experience for subsequent years. Producers in the program for more than 2 years should contact their MASC Service Center for help in calculating their actual expected grazing days. 
The grazing period includes the time livestock spent on actual pasture and does not include grazing hay fields or stubble fields. An individual 10-year average will be developed for future years coverage based on each producer’s individual annual grazing period and animal units on pasture.
Coverage begins when your cattle are put on pasture, but in any event, no sooner than </t>
        </r>
        <r>
          <rPr>
            <b/>
            <sz val="9"/>
            <color indexed="81"/>
            <rFont val="Tahoma"/>
            <family val="2"/>
          </rPr>
          <t>May 1.</t>
        </r>
      </text>
    </comment>
    <comment ref="D9" authorId="0" shapeId="0" xr:uid="{00000000-0006-0000-0900-000002000000}">
      <text>
        <r>
          <rPr>
            <sz val="9"/>
            <color indexed="81"/>
            <rFont val="Tahoma"/>
            <family val="2"/>
          </rPr>
          <t>The coverage level for Pasture Days Insurance is set at 90 per cent of normal AU Days, meaning a claim is paid if the actual grazing period is less than 90 per cent of the insured’s calculated AU Days.</t>
        </r>
      </text>
    </comment>
    <comment ref="D14" authorId="0" shapeId="0" xr:uid="{00000000-0006-0000-0900-000003000000}">
      <text>
        <r>
          <rPr>
            <sz val="9"/>
            <color indexed="81"/>
            <rFont val="Tahoma"/>
            <family val="2"/>
          </rPr>
          <t>Premium costs are shared 40 per cent by the producer, 36 per cent by the Government of Canada, and 24 per cent by the Province of Manitoba.</t>
        </r>
      </text>
    </comment>
    <comment ref="E26" authorId="0" shapeId="0" xr:uid="{00000000-0006-0000-0900-000004000000}">
      <text>
        <r>
          <rPr>
            <sz val="9"/>
            <color indexed="81"/>
            <rFont val="Tahoma"/>
            <family val="2"/>
          </rPr>
          <t>The livestock numbers, pasture acres, and the date livestock were placed on pasture must be reported on a Pasture Days Spring Declaration by June 30.</t>
        </r>
      </text>
    </comment>
    <comment ref="G26" authorId="0" shapeId="0" xr:uid="{00000000-0006-0000-0900-000005000000}">
      <text>
        <r>
          <rPr>
            <sz val="9"/>
            <color indexed="81"/>
            <rFont val="Tahoma"/>
            <family val="2"/>
          </rPr>
          <t xml:space="preserve"> MASC requires a minimum total of 30 'Animal Units' (AU) of eligible livestock types on pasture.</t>
        </r>
      </text>
    </comment>
    <comment ref="D44" authorId="0" shapeId="0" xr:uid="{00000000-0006-0000-0900-000006000000}">
      <text>
        <r>
          <rPr>
            <sz val="9"/>
            <color indexed="81"/>
            <rFont val="Tahoma"/>
            <family val="2"/>
          </rPr>
          <t>A producer must inform MASC immediately of any changes to pasture acres or livestock numbers that occur throughout the year, or if supplemental feed is provided to livestock on pasture. 
The livestock winter feeding date and date the livestock are removed from pasture must be reported on a Pasture Days Fall Declaration by November 30.</t>
        </r>
      </text>
    </comment>
    <comment ref="D48" authorId="0" shapeId="0" xr:uid="{00000000-0006-0000-0900-000007000000}">
      <text>
        <r>
          <rPr>
            <sz val="9"/>
            <color indexed="81"/>
            <rFont val="Tahoma"/>
            <family val="2"/>
          </rPr>
          <t>An indemnity is issued on a producer’s claim when the actual grazing period is less than 90 per cent of the derived Animal Unit Days (22,914 in example). The producer will be paid $2.00 per Animal Unit for every shortfall day.</t>
        </r>
      </text>
    </comment>
  </commentList>
</comments>
</file>

<file path=xl/sharedStrings.xml><?xml version="1.0" encoding="utf-8"?>
<sst xmlns="http://schemas.openxmlformats.org/spreadsheetml/2006/main" count="691" uniqueCount="412">
  <si>
    <t>Total Operating and Fixed</t>
  </si>
  <si>
    <t xml:space="preserve">    2.01 Land </t>
  </si>
  <si>
    <t>$/Acre</t>
  </si>
  <si>
    <t>Seeding</t>
  </si>
  <si>
    <t xml:space="preserve">  %</t>
  </si>
  <si>
    <t xml:space="preserve">Investment interest rate </t>
  </si>
  <si>
    <t>/acre</t>
  </si>
  <si>
    <t>Total</t>
  </si>
  <si>
    <t>A.  Operating Costs</t>
  </si>
  <si>
    <t>B.  Fixed Costs</t>
  </si>
  <si>
    <t>2.0 Investment</t>
  </si>
  <si>
    <t>3.0 Depreciation</t>
  </si>
  <si>
    <t>C. Labour</t>
  </si>
  <si>
    <t>Total Cost of Production</t>
  </si>
  <si>
    <t>Your Cost</t>
  </si>
  <si>
    <t xml:space="preserve">    Total Fixed Costs</t>
  </si>
  <si>
    <t>Salvage</t>
  </si>
  <si>
    <t>Total Acres</t>
  </si>
  <si>
    <t>acres</t>
  </si>
  <si>
    <t>Interest on Operating</t>
  </si>
  <si>
    <t xml:space="preserve"> acres</t>
  </si>
  <si>
    <t>$/lb</t>
  </si>
  <si>
    <t>$/acre</t>
  </si>
  <si>
    <t>Grazing period</t>
  </si>
  <si>
    <t>Days</t>
  </si>
  <si>
    <t>Months</t>
  </si>
  <si>
    <t>$/head</t>
  </si>
  <si>
    <t>Season</t>
  </si>
  <si>
    <t>Daily</t>
  </si>
  <si>
    <t>Vegetative Associations</t>
  </si>
  <si>
    <t xml:space="preserve"> days</t>
  </si>
  <si>
    <t xml:space="preserve"> months</t>
  </si>
  <si>
    <t>Water Development</t>
  </si>
  <si>
    <t xml:space="preserve">Useful </t>
  </si>
  <si>
    <t>Value</t>
  </si>
  <si>
    <t>years</t>
  </si>
  <si>
    <t>Estimated average  weight on pasture</t>
  </si>
  <si>
    <t>Handling facilities</t>
  </si>
  <si>
    <t>Nitrogen</t>
  </si>
  <si>
    <t>Potash</t>
  </si>
  <si>
    <t>Number of head pastured/season</t>
  </si>
  <si>
    <t>Number of head pastured/acre</t>
  </si>
  <si>
    <t xml:space="preserve">    2.02 Facilities</t>
  </si>
  <si>
    <t xml:space="preserve">    3.01 Facilities</t>
  </si>
  <si>
    <t>Pounds liveweight per acre</t>
  </si>
  <si>
    <t>Value %</t>
  </si>
  <si>
    <t>Life Yrs</t>
  </si>
  <si>
    <t>Light</t>
  </si>
  <si>
    <t>Medium</t>
  </si>
  <si>
    <t>Heavy</t>
  </si>
  <si>
    <t>Soil Groups</t>
  </si>
  <si>
    <t>Bush</t>
  </si>
  <si>
    <t>Woodland</t>
  </si>
  <si>
    <t>Meadow</t>
  </si>
  <si>
    <t>Improved</t>
  </si>
  <si>
    <t>Poor tame forage</t>
  </si>
  <si>
    <t>Hay regrowth</t>
  </si>
  <si>
    <t>Lowland meadow</t>
  </si>
  <si>
    <t>Open woodland</t>
  </si>
  <si>
    <t>Harvested woodland</t>
  </si>
  <si>
    <t>Boreal forest</t>
  </si>
  <si>
    <t>Upland grass</t>
  </si>
  <si>
    <t>Transitional grassland</t>
  </si>
  <si>
    <t>Fair tame forage</t>
  </si>
  <si>
    <t>Good tame forage</t>
  </si>
  <si>
    <t>Annual</t>
  </si>
  <si>
    <t>Annual crop land</t>
  </si>
  <si>
    <t>Crop stubble</t>
  </si>
  <si>
    <t>Fall seeded cereal</t>
  </si>
  <si>
    <t>Source Manitoba Crown Lands</t>
  </si>
  <si>
    <t>Stocking rates are a critical aspect of any grazing system. This budget takes into account options to consider when calculating the stocking rate or Animal Unit Months (AUM) for your soil type and climatic conditions.</t>
  </si>
  <si>
    <t>Animal Unit Month (AUM) Available per Acre</t>
  </si>
  <si>
    <t>Total pounds on pasture</t>
  </si>
  <si>
    <t>Your Farm</t>
  </si>
  <si>
    <t>Example</t>
  </si>
  <si>
    <t>Grazing period in months</t>
  </si>
  <si>
    <t>(1 ÷ 2)</t>
  </si>
  <si>
    <t>AUM's available per acre for I month</t>
  </si>
  <si>
    <t>(3 ÷ 4)</t>
  </si>
  <si>
    <t>AUM's available per acre for total period</t>
  </si>
  <si>
    <t>Total Acres in Pasture</t>
  </si>
  <si>
    <t>(5 x 6)</t>
  </si>
  <si>
    <t>Calculating Pasture Capacity - Number of Head Pastured</t>
  </si>
  <si>
    <t>Carrying Capacity of Pasture (# of Head)</t>
  </si>
  <si>
    <t>1.</t>
  </si>
  <si>
    <t>2.</t>
  </si>
  <si>
    <t>3.</t>
  </si>
  <si>
    <t>4.</t>
  </si>
  <si>
    <t>5.</t>
  </si>
  <si>
    <t>6.</t>
  </si>
  <si>
    <t>7.</t>
  </si>
  <si>
    <t>Carrying Capacity</t>
  </si>
  <si>
    <t>(see table; soil group 3 veg assoc. 11)</t>
  </si>
  <si>
    <t>* One Animal Unit Month (AUM) is defined as a 1000 lb beef cow, with or without a nursing calf, with a daily requirement of 26 lbs dry matter forage. Therefore 1 AUM is equal to 780 lbs of dry matter forage.</t>
  </si>
  <si>
    <r>
      <t>Animal Unit Month Available per acre</t>
    </r>
    <r>
      <rPr>
        <b/>
        <sz val="12"/>
        <rFont val="Arial"/>
        <family val="2"/>
      </rPr>
      <t>*</t>
    </r>
  </si>
  <si>
    <r>
      <t>Animal Unit Equivalents</t>
    </r>
    <r>
      <rPr>
        <b/>
        <sz val="12"/>
        <rFont val="Arial"/>
        <family val="2"/>
      </rPr>
      <t>**</t>
    </r>
  </si>
  <si>
    <t>Fence Costs</t>
  </si>
  <si>
    <t xml:space="preserve">. . . . . . . . . . . . . . . . . . . . . . . . . . . . . . . . . . . . . . . . . . . . . . . . . </t>
  </si>
  <si>
    <t>Guidelines For Estimating</t>
  </si>
  <si>
    <t xml:space="preserve">This tool is available as an Excel worksheet at: </t>
  </si>
  <si>
    <t xml:space="preserve">                                                                                          is also available to help</t>
  </si>
  <si>
    <t>determine machinery costs.</t>
  </si>
  <si>
    <t>These budgets may be adjusted by putting in your own figures.  As a producer, you are encouraged to calculate your own costs of production for your pasture and grazing system.  On each farm, costs and yields differ due to soil type, climate and agronomic practices.</t>
  </si>
  <si>
    <t>Improved &amp; Unimproved</t>
  </si>
  <si>
    <t>Total Operating Costs</t>
  </si>
  <si>
    <t xml:space="preserve">Improved Pasture </t>
  </si>
  <si>
    <t xml:space="preserve">Unimproved Pasture </t>
  </si>
  <si>
    <r>
      <rPr>
        <b/>
        <sz val="10"/>
        <rFont val="Arial"/>
        <family val="2"/>
      </rPr>
      <t>Note:</t>
    </r>
    <r>
      <rPr>
        <sz val="10"/>
        <rFont val="Arial"/>
        <family val="2"/>
      </rPr>
      <t xml:space="preserve"> This budget is only a guide and is not intended as an in depth study of the cost of production of this industry. Interpretation and utilization of this information is the responsibility of the user.</t>
    </r>
  </si>
  <si>
    <t>Operating Costs</t>
  </si>
  <si>
    <t xml:space="preserve">Unmproved Pasture </t>
  </si>
  <si>
    <t>lbs/head</t>
  </si>
  <si>
    <t>head</t>
  </si>
  <si>
    <t>Hd/acre</t>
  </si>
  <si>
    <t>Number of Passes</t>
  </si>
  <si>
    <t>Custom Work</t>
  </si>
  <si>
    <t>Land Clearing</t>
  </si>
  <si>
    <t>Cost/Ac</t>
  </si>
  <si>
    <t>Total/Ac</t>
  </si>
  <si>
    <t>Harrowing</t>
  </si>
  <si>
    <t>Bulk Price</t>
  </si>
  <si>
    <t>Actual Nutrient</t>
  </si>
  <si>
    <t>Sulphur</t>
  </si>
  <si>
    <t>Fertilizer Type</t>
  </si>
  <si>
    <t>$/tonne</t>
  </si>
  <si>
    <t>Usage</t>
  </si>
  <si>
    <t>Nitrogen: (urea) 46-0-0</t>
  </si>
  <si>
    <t xml:space="preserve"> -</t>
  </si>
  <si>
    <t>Nitrogen: (NH3) 82-0-0</t>
  </si>
  <si>
    <t>Nitrogen: (liquid) 28-0-0</t>
  </si>
  <si>
    <t>Phosphorus:   11-52-0</t>
  </si>
  <si>
    <t>Potash:   0-0-60</t>
  </si>
  <si>
    <t>Sulphur:   20.5-0-0-24</t>
  </si>
  <si>
    <t>Amount of Actual Pounds of Elements Applied Per Acre</t>
  </si>
  <si>
    <t>Phosphorus</t>
  </si>
  <si>
    <t>lbs</t>
  </si>
  <si>
    <t>Oat greenfeed (nurse crop)</t>
  </si>
  <si>
    <t>Improved Pasture</t>
  </si>
  <si>
    <t>Unimproved Pasture</t>
  </si>
  <si>
    <t>Annual Production</t>
  </si>
  <si>
    <t>Establishment (nurse crop)</t>
  </si>
  <si>
    <r>
      <t>Fertilizer</t>
    </r>
    <r>
      <rPr>
        <b/>
        <vertAlign val="superscript"/>
        <sz val="14"/>
        <color indexed="9"/>
        <rFont val="Arial"/>
        <family val="2"/>
      </rPr>
      <t xml:space="preserve"> </t>
    </r>
  </si>
  <si>
    <t>Pasture Input</t>
  </si>
  <si>
    <t>Land Breaking &amp; Tillage</t>
  </si>
  <si>
    <t>Land Base</t>
  </si>
  <si>
    <t>Seeding Rate</t>
  </si>
  <si>
    <t>Price</t>
  </si>
  <si>
    <t>Cost</t>
  </si>
  <si>
    <t>per Acre</t>
  </si>
  <si>
    <t>per Unit</t>
  </si>
  <si>
    <t>lb</t>
  </si>
  <si>
    <t>/bu</t>
  </si>
  <si>
    <t>/lb</t>
  </si>
  <si>
    <t>bu</t>
  </si>
  <si>
    <t>Number of Productive Years</t>
  </si>
  <si>
    <t>Chemicals</t>
  </si>
  <si>
    <t>Weed</t>
  </si>
  <si>
    <t xml:space="preserve">Insect </t>
  </si>
  <si>
    <t>Control</t>
  </si>
  <si>
    <t>(Annual Cost Amortization)</t>
  </si>
  <si>
    <t>Spot</t>
  </si>
  <si>
    <t>Spray</t>
  </si>
  <si>
    <t>Other - Misc.</t>
  </si>
  <si>
    <t>Land Development &amp; Forage Establishment - Rental &amp; Custom</t>
  </si>
  <si>
    <t>Land Development &amp; Forage Establishment - Seed &amp; Treatment</t>
  </si>
  <si>
    <t>Custom Application - Fertilizer</t>
  </si>
  <si>
    <t>Improved Pasture acres fertilized annually</t>
  </si>
  <si>
    <t xml:space="preserve">Land Taxes </t>
  </si>
  <si>
    <t>Other Capital Costs</t>
  </si>
  <si>
    <t>Total Other Capital Costs</t>
  </si>
  <si>
    <t>Labour Costs</t>
  </si>
  <si>
    <t>Total hours/season</t>
  </si>
  <si>
    <t>Rate per hour</t>
  </si>
  <si>
    <t>Miscellaneous</t>
  </si>
  <si>
    <r>
      <t>Maintenance &amp; Repairs</t>
    </r>
    <r>
      <rPr>
        <sz val="12"/>
        <rFont val="Arial"/>
        <family val="2"/>
      </rPr>
      <t xml:space="preserve"> (total cost/year)</t>
    </r>
  </si>
  <si>
    <t>Fence Maintenance</t>
  </si>
  <si>
    <t>Fence Maintenance (% of investment cost)</t>
  </si>
  <si>
    <t>Other Capital Depreciation Cost</t>
  </si>
  <si>
    <t>Unimproved Pasture acres fertilized annually</t>
  </si>
  <si>
    <t>Custom Application - Herbicide</t>
  </si>
  <si>
    <t>Electric Wire (4 strand)</t>
  </si>
  <si>
    <t>Electric Wire (2 strand)</t>
  </si>
  <si>
    <t>Page Wire (w/optional top wire)</t>
  </si>
  <si>
    <t>Number of miles of Fence Required</t>
  </si>
  <si>
    <t>Materials</t>
  </si>
  <si>
    <t>Labour</t>
  </si>
  <si>
    <t>Equipment</t>
  </si>
  <si>
    <t>Cost Per Mile of Fence</t>
  </si>
  <si>
    <t xml:space="preserve">For more information on fence costs, </t>
  </si>
  <si>
    <t>Improved Pasture Total Cost</t>
  </si>
  <si>
    <t>Un-Improved Pasture Total Cost</t>
  </si>
  <si>
    <t>Fence Cost</t>
  </si>
  <si>
    <t>Days on Pasture</t>
  </si>
  <si>
    <t>Land Development</t>
  </si>
  <si>
    <t>Herbicide</t>
  </si>
  <si>
    <t>Land Taxes</t>
  </si>
  <si>
    <t>Maintenance &amp; Repairs</t>
  </si>
  <si>
    <t>Fertilizer - Annual</t>
  </si>
  <si>
    <t>Sub-total Operating Cost</t>
  </si>
  <si>
    <t>Facilities Maintenance (% of investment cost)</t>
  </si>
  <si>
    <t>Facilities Maintenance</t>
  </si>
  <si>
    <t>Total Pasture Cost Per AUM</t>
  </si>
  <si>
    <t>Cost Analysis</t>
  </si>
  <si>
    <t>Other Assumptions</t>
  </si>
  <si>
    <t>Land Taxes:</t>
  </si>
  <si>
    <t>Interest On Operating:</t>
  </si>
  <si>
    <r>
      <t xml:space="preserve">Market Value </t>
    </r>
    <r>
      <rPr>
        <sz val="10"/>
        <rFont val="Arial"/>
        <family val="2"/>
      </rPr>
      <t>(excluding fence, water, facilities)</t>
    </r>
  </si>
  <si>
    <t>Miscellaneous Costs:</t>
  </si>
  <si>
    <t>Includes overhead expenses: hydro, telephone, accounting, supplies and insurance, etc.</t>
  </si>
  <si>
    <t>Land Development &amp; Forage Establishment - Greenfeed Production</t>
  </si>
  <si>
    <t>ton/acre</t>
  </si>
  <si>
    <t>Yield</t>
  </si>
  <si>
    <t>(establishment year only)</t>
  </si>
  <si>
    <t>Land Development Costs:</t>
  </si>
  <si>
    <t>Fence Maintenace Costs:</t>
  </si>
  <si>
    <t>Facilities Maintenace Costs:</t>
  </si>
  <si>
    <t>Other Capital Investment Cost:</t>
  </si>
  <si>
    <t>Grazing Formulas:</t>
  </si>
  <si>
    <t>Electric Wire (1 strand)</t>
  </si>
  <si>
    <t>Other Capital Depreciation Cost:</t>
  </si>
  <si>
    <t>-</t>
  </si>
  <si>
    <r>
      <t>Estimated Carrying Capacity</t>
    </r>
    <r>
      <rPr>
        <sz val="11"/>
        <rFont val="Arial"/>
        <family val="2"/>
      </rPr>
      <t>: Pick the soil group and vegetative association (from the table above) that most closely represents your land.</t>
    </r>
  </si>
  <si>
    <t>Metabolic Animal Unit Value</t>
  </si>
  <si>
    <t>(Average weight of animals^.75 ÷ 1000 ^.75lbs)</t>
  </si>
  <si>
    <t xml:space="preserve">A more accurate estimate of daily or monthly forage demand of livestock on a grazing system can be reached by using the metabolic weight of the livestock rather than the live weight of the animals. It has been found that metabolic weight accounts for significant variation in dry matter intake among animals of different size (NRC 1996). Metabolic weight is the live weight to the 0.75 power. Beef cattle animal unit equivalents can be determined for animals of different sizes by calculating their metabolic weight as a percentage of the metabolic weight of a 1000 pound cow. </t>
  </si>
  <si>
    <t>Perennial Pasture Production</t>
  </si>
  <si>
    <t>Barbed Wire (4 strand)</t>
  </si>
  <si>
    <t>Forage seed</t>
  </si>
  <si>
    <t xml:space="preserve">Total Animal Unit Months (AUM's) </t>
  </si>
  <si>
    <t xml:space="preserve">  Finance Rate &amp; Term</t>
  </si>
  <si>
    <t>Years</t>
  </si>
  <si>
    <t xml:space="preserve">  Principle &amp; Interest Cost</t>
  </si>
  <si>
    <t xml:space="preserve">  Owned Land Opportunity Cost</t>
  </si>
  <si>
    <t xml:space="preserve">  Total Cost</t>
  </si>
  <si>
    <t xml:space="preserve">  Owned Land Equity</t>
  </si>
  <si>
    <t xml:space="preserve">  Land Financed</t>
  </si>
  <si>
    <r>
      <t xml:space="preserve">  Land Opportunity Cost </t>
    </r>
    <r>
      <rPr>
        <sz val="10"/>
        <rFont val="Arial"/>
        <family val="2"/>
      </rPr>
      <t xml:space="preserve">(Investment Rate) </t>
    </r>
  </si>
  <si>
    <t xml:space="preserve">Total AUM's - Available Per Acre </t>
  </si>
  <si>
    <t>Pasture Investment per AUM</t>
  </si>
  <si>
    <t>Land cost</t>
  </si>
  <si>
    <t>Pasture Investment per Head on Pasture</t>
  </si>
  <si>
    <t>AUM Analysis</t>
  </si>
  <si>
    <t>Pasture Efficency Analysis</t>
  </si>
  <si>
    <t>Land Cost:</t>
  </si>
  <si>
    <t>Acre/head</t>
  </si>
  <si>
    <t>Number of pasture acres/head</t>
  </si>
  <si>
    <t>/day</t>
  </si>
  <si>
    <t>Pasture Land Costs</t>
  </si>
  <si>
    <r>
      <t xml:space="preserve">  Depreciation Cost = </t>
    </r>
    <r>
      <rPr>
        <u/>
        <sz val="12"/>
        <rFont val="Arial"/>
        <family val="2"/>
      </rPr>
      <t>Original Cost - Salvage Value</t>
    </r>
  </si>
  <si>
    <r>
      <t xml:space="preserve">Investment Cost = </t>
    </r>
    <r>
      <rPr>
        <u/>
        <sz val="12"/>
        <rFont val="Arial"/>
        <family val="2"/>
      </rPr>
      <t>Original Cost + Salvage Value</t>
    </r>
    <r>
      <rPr>
        <sz val="12"/>
        <rFont val="Arial"/>
        <family val="2"/>
      </rPr>
      <t xml:space="preserve"> x Investment Rate</t>
    </r>
  </si>
  <si>
    <t>Land P&amp;I Costs:</t>
  </si>
  <si>
    <t>Land Investment Costs:</t>
  </si>
  <si>
    <t>Other Capital Investment Costs:</t>
  </si>
  <si>
    <t>Other Capital Depreciation Costs:</t>
  </si>
  <si>
    <t>Total Annual Cost</t>
  </si>
  <si>
    <t>Pasture Cost / Head / Day</t>
  </si>
  <si>
    <t>Pasture Investment per Head</t>
  </si>
  <si>
    <t>Pasture Cost / AUM</t>
  </si>
  <si>
    <t>Percent Change in Owned Land Equity</t>
  </si>
  <si>
    <t>Change in Land Value</t>
  </si>
  <si>
    <t>Change in Stocking Rate</t>
  </si>
  <si>
    <t>Change in Grazing Days</t>
  </si>
  <si>
    <t>Cost / Day</t>
  </si>
  <si>
    <t>Amount</t>
  </si>
  <si>
    <t>Added</t>
  </si>
  <si>
    <t>Risk &amp; Sensitivity Analysis (Stress Test)</t>
  </si>
  <si>
    <t xml:space="preserve">This guide is designed to provide planning information and a format for calculating the costs of improved and unimproved (marginal) grass pasture for the purpose of grazing livestock in Manitoba.  General Department recommendations are assumed in using fertilizers and chemical inputs.  These figures provide an economic evaluation of pastures and estimated cost per head per day.  Costs include operating, investment and depreciation, but do not include managment costs, nor do they necessarily represent the average cost of production in Manitoba.  
</t>
  </si>
  <si>
    <t xml:space="preserve">Pasture Total Cost per Head </t>
  </si>
  <si>
    <t>Changed</t>
  </si>
  <si>
    <t>Stocking Rate</t>
  </si>
  <si>
    <t>Land Value</t>
  </si>
  <si>
    <t>Owned Equity</t>
  </si>
  <si>
    <t>MES S15:  13-33-0-15</t>
  </si>
  <si>
    <t>***HIDE***</t>
  </si>
  <si>
    <t>82-0-0</t>
  </si>
  <si>
    <t>28-0-0</t>
  </si>
  <si>
    <t>46-0-0</t>
  </si>
  <si>
    <t>11-52-0</t>
  </si>
  <si>
    <t>0-0-60</t>
  </si>
  <si>
    <t>20.5-0-0-24</t>
  </si>
  <si>
    <t>13-33-0-15</t>
  </si>
  <si>
    <t>preseed</t>
  </si>
  <si>
    <t>suppl</t>
  </si>
  <si>
    <t xml:space="preserve">blend </t>
  </si>
  <si>
    <t>blend</t>
  </si>
  <si>
    <t>N phos</t>
  </si>
  <si>
    <t>N actual</t>
  </si>
  <si>
    <t>N lbs</t>
  </si>
  <si>
    <t>N MT</t>
  </si>
  <si>
    <t>N cost</t>
  </si>
  <si>
    <t>N  sul1</t>
  </si>
  <si>
    <t>N  sul2</t>
  </si>
  <si>
    <t>N urea</t>
  </si>
  <si>
    <t>phos lbs</t>
  </si>
  <si>
    <t>phos MT</t>
  </si>
  <si>
    <t>phos cost</t>
  </si>
  <si>
    <t>potash</t>
  </si>
  <si>
    <t>pot MT</t>
  </si>
  <si>
    <t>pot cost</t>
  </si>
  <si>
    <t>sul 1 lbs</t>
  </si>
  <si>
    <t>sul 1 MT</t>
  </si>
  <si>
    <t>sul 1 cost</t>
  </si>
  <si>
    <t>sul 2 lbs</t>
  </si>
  <si>
    <t>sul 2 MT</t>
  </si>
  <si>
    <t>sul 2 cost</t>
  </si>
  <si>
    <r>
      <rPr>
        <b/>
        <sz val="11"/>
        <rFont val="Arial"/>
        <family val="2"/>
      </rPr>
      <t xml:space="preserve">Note: </t>
    </r>
    <r>
      <rPr>
        <sz val="11"/>
        <rFont val="Arial"/>
        <family val="2"/>
      </rPr>
      <t>This budget is only a guide and is not intended as an in depth study of the cost of production of this industry. Interpretation and use of this information is the responsibility of the user. If you need help with a budget, contact a Farm Management Specialist.</t>
    </r>
  </si>
  <si>
    <t>Pasture Land</t>
  </si>
  <si>
    <t>1 Mature cow (open cow) = 1.0 A.U.</t>
  </si>
  <si>
    <t>1 Bull, bred cow or cow/calf pair = 1.3 A.U.</t>
  </si>
  <si>
    <t>1 yearling calf, steer or heifer = 0.6 A.U.</t>
  </si>
  <si>
    <t>(Select Animal Type)</t>
  </si>
  <si>
    <t>Number of Head</t>
  </si>
  <si>
    <t>Animal Unit (AU)</t>
  </si>
  <si>
    <t>Coverage</t>
  </si>
  <si>
    <t>days</t>
  </si>
  <si>
    <t>Historic grazing period or Individual 10-year average</t>
  </si>
  <si>
    <t>Coverage Level of of Normal AU days</t>
  </si>
  <si>
    <t>Dollar Coverage per Animal Unit for each AU day</t>
  </si>
  <si>
    <t>Animal Inventory</t>
  </si>
  <si>
    <t>Coverage Calculation</t>
  </si>
  <si>
    <t>AU Days</t>
  </si>
  <si>
    <t>Livestock removed from pasture after</t>
  </si>
  <si>
    <t>Premium Calculation</t>
  </si>
  <si>
    <t>Data List</t>
  </si>
  <si>
    <t>Premium Rate</t>
  </si>
  <si>
    <t>Premium share (producer)</t>
  </si>
  <si>
    <t>Premium = Expected number of Grazing Days x Animal Units x coverage Level x Insurable Value x Premium Rate %</t>
  </si>
  <si>
    <t>Pasture Days Insurance</t>
  </si>
  <si>
    <t>Animal Unit Days</t>
  </si>
  <si>
    <t>Pasture Guarantee Days</t>
  </si>
  <si>
    <t>Estimated Dollar Coverage</t>
  </si>
  <si>
    <t>Premium</t>
  </si>
  <si>
    <t>Est. Premium ($/Acre)</t>
  </si>
  <si>
    <t>Est. Premium ($/head/day)</t>
  </si>
  <si>
    <t>Est. Premium ($/head/season)</t>
  </si>
  <si>
    <t>months</t>
  </si>
  <si>
    <t xml:space="preserve">or </t>
  </si>
  <si>
    <t>Indemnity Calculation</t>
  </si>
  <si>
    <t>Date livestock placed on pasture</t>
  </si>
  <si>
    <t xml:space="preserve">(coverage would last until </t>
  </si>
  <si>
    <t>Printed:</t>
  </si>
  <si>
    <r>
      <t xml:space="preserve">*** Enter/select changes to items in </t>
    </r>
    <r>
      <rPr>
        <b/>
        <sz val="10"/>
        <color indexed="12"/>
        <rFont val="Arial"/>
        <family val="2"/>
      </rPr>
      <t xml:space="preserve">BLUE </t>
    </r>
    <r>
      <rPr>
        <b/>
        <sz val="10"/>
        <rFont val="Arial"/>
        <family val="2"/>
      </rPr>
      <t>only ***</t>
    </r>
  </si>
  <si>
    <t xml:space="preserve">. . . . . . . . . . . . . . . . . . . . . . . . . . . . . . . . . . . . . . . . . . . . . . . . . . . . . . . . . . . . . . . . </t>
  </si>
  <si>
    <t>Pasture Days Insurance Calculator</t>
  </si>
  <si>
    <r>
      <t>Note:</t>
    </r>
    <r>
      <rPr>
        <sz val="10"/>
        <rFont val="Arial"/>
        <family val="2"/>
      </rPr>
      <t xml:space="preserve"> This budget is only a guide and is not intended to be an in-depth study of the pasture costs.  Interpretation and utilization of this information is the responsibility of the user. </t>
    </r>
  </si>
  <si>
    <t>Est. Avg. Coverage ($/head/season)</t>
  </si>
  <si>
    <t xml:space="preserve">Est. Avg. Coverage ($/head/day) </t>
  </si>
  <si>
    <t>Date livestock placed on pasture (enter M/DD)</t>
  </si>
  <si>
    <t>Date livestock removed from pasture (enter M/DD)</t>
  </si>
  <si>
    <t>Calculated actual days on pasture before removal</t>
  </si>
  <si>
    <t>April, 2022</t>
  </si>
  <si>
    <t>Breakeven Analysis</t>
  </si>
  <si>
    <t>Pasture Insurance Indemnity</t>
  </si>
  <si>
    <t>Breakeven</t>
  </si>
  <si>
    <t>Indemnity</t>
  </si>
  <si>
    <t>Number of Pasture Days Covered by AgriInsurance</t>
  </si>
  <si>
    <t>Number of Pasture Days Uncovered by AgriInsurance</t>
  </si>
  <si>
    <t>Historic Grazing Days</t>
  </si>
  <si>
    <t>Pasture Days Covered by AgriInsurance</t>
  </si>
  <si>
    <t>or</t>
  </si>
  <si>
    <t xml:space="preserve">Estimated Indemnity </t>
  </si>
  <si>
    <t>Est. Indemnity ($/Acre)</t>
  </si>
  <si>
    <t>Est. Indemnity ($/head/season)</t>
  </si>
  <si>
    <t>Est. Indemnity ($/head/day)</t>
  </si>
  <si>
    <t>maybe interest rates??</t>
  </si>
  <si>
    <t>MASC Pasture Days Insurance Factsheet</t>
  </si>
  <si>
    <t>Rams, Bred Ewes, Ewe/Lamb pairs = 0.25 A.U.</t>
  </si>
  <si>
    <t>Open Ewes = 0.20 A.U.</t>
  </si>
  <si>
    <t>Weaned Lambs, Yearlings, Wethers = 0.15 A.U.</t>
  </si>
  <si>
    <t>Sheep</t>
  </si>
  <si>
    <t>Goats</t>
  </si>
  <si>
    <t>Bucks, Bred Does, Does with Kids = 0.20 A.U.</t>
  </si>
  <si>
    <t>Open Does = 0.10 A.U.</t>
  </si>
  <si>
    <t>Weaned Lambs, Yearlings, Wethers = 0.05 A.U.</t>
  </si>
  <si>
    <t>Horses</t>
  </si>
  <si>
    <t>Mature Stallions, Male Mules, Bred Mares, Mare/Foal Pairs = 1.5 A.U.</t>
  </si>
  <si>
    <t>Open Mares, Female Mules = 1.30 A.U.</t>
  </si>
  <si>
    <t>Weanling Colts or Fillies or Mules = 0.75 A.U.</t>
  </si>
  <si>
    <t>Cows</t>
  </si>
  <si>
    <t>Donkeys and Ponies</t>
  </si>
  <si>
    <t>Open Mares, Open Jennies = 0.50 A.U.</t>
  </si>
  <si>
    <t>Weanling Colts/Fillies, Geldings = 0.40 A.U.</t>
  </si>
  <si>
    <t>Mature Stallions, Jacks, Bred Mares, Bred Jennies, Mare/Foal Pairs, Jenny/Colt Pairs = 0.65 A.U.</t>
  </si>
  <si>
    <t>Llamas and Alpacas</t>
  </si>
  <si>
    <t>Studs, Bred Dams, Dam/Cria Pairs = 0.30 A.U.</t>
  </si>
  <si>
    <t>Open Girls = 0.25 A.U.</t>
  </si>
  <si>
    <t>Maiden Girls, Immature Stud, Geldings = 0.20 A.U.</t>
  </si>
  <si>
    <t>Elk</t>
  </si>
  <si>
    <t>Weaners, Yearling Calves, Steers or Heifers = 0.4 A.U.</t>
  </si>
  <si>
    <t>Deer</t>
  </si>
  <si>
    <t>Bucks, Bred Does, Doe/Fawn pairs = 0.25 A.U.</t>
  </si>
  <si>
    <t>Open Dowes = 0.20 A.U.</t>
  </si>
  <si>
    <t>Weaned Fawns, Yearlings, Havier = 0.15 A.U.</t>
  </si>
  <si>
    <t>Bison</t>
  </si>
  <si>
    <t>Bulls, Bred Cow or Cow/Calf pair = 1.30 A.U.</t>
  </si>
  <si>
    <t>Open Cows = 1.0 A.U.</t>
  </si>
  <si>
    <t>Yearling Calves, Steers or Heifers = 0.6 A.U.</t>
  </si>
  <si>
    <t>Yearling Calves, Steers and Heifers = 0.6 A.U.</t>
  </si>
  <si>
    <t>Open Cows = 0.6 A.U.</t>
  </si>
  <si>
    <t>Bulls, Bred Cows, Cow/Calf pairs = 1.3 A.U.</t>
  </si>
  <si>
    <t>Bulls, Bred Cows, Cow/Calf pairs = 0.75 A.U.</t>
  </si>
  <si>
    <t>Animal'</t>
  </si>
  <si>
    <t>Donkeys_and_ Ponies</t>
  </si>
  <si>
    <t>Llamas_and_Alpacas</t>
  </si>
  <si>
    <t>Step #1</t>
  </si>
  <si>
    <t>Step #2 -  Select Category</t>
  </si>
  <si>
    <t>MASC Pasture Days Insurance Calculator</t>
  </si>
  <si>
    <t>Interest Rate</t>
  </si>
  <si>
    <t>Change in Interest Rate</t>
  </si>
  <si>
    <t>Pasture Days Insurance Cost &amp; Analysis</t>
  </si>
  <si>
    <t>Actual Animal Unit Days</t>
  </si>
  <si>
    <t xml:space="preserve">Pasture Shortfall </t>
  </si>
  <si>
    <t>Date: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</si>
</sst>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7" formatCode="&quot;$&quot;#,##0.00;\-&quot;$&quot;#,##0.00"/>
    <numFmt numFmtId="8" formatCode="&quot;$&quot;#,##0.00;[Red]\-&quot;$&quot;#,##0.00"/>
    <numFmt numFmtId="164" formatCode="&quot;$&quot;#,##0_);\(&quot;$&quot;#,##0\)"/>
    <numFmt numFmtId="165" formatCode="&quot;$&quot;#,##0.00_);[Red]\(&quot;$&quot;#,##0.00\)"/>
    <numFmt numFmtId="166" formatCode="_(&quot;$&quot;* #,##0.00_);_(&quot;$&quot;* \(#,##0.00\);_(&quot;$&quot;* &quot;-&quot;??_);_(@_)"/>
    <numFmt numFmtId="167" formatCode="#,##0.0"/>
    <numFmt numFmtId="168" formatCode="&quot;$&quot;#,##0.00"/>
    <numFmt numFmtId="169" formatCode="0.0"/>
    <numFmt numFmtId="170" formatCode="&quot;$&quot;#,##0.00\ ;\(&quot;$&quot;#,##0.00\)"/>
    <numFmt numFmtId="171" formatCode="&quot;$&quot;#,##0"/>
    <numFmt numFmtId="172" formatCode="&quot;$&quot;#,##0.000"/>
    <numFmt numFmtId="173" formatCode="#,##0.000"/>
    <numFmt numFmtId="174" formatCode="#,##0_ ;\-#,##0\ "/>
    <numFmt numFmtId="175" formatCode="&quot;$&quot;#,##0.00_);[Red]\-&quot;$&quot;#,##0.00"/>
    <numFmt numFmtId="176" formatCode="0.000%"/>
    <numFmt numFmtId="177" formatCode="&quot;$&quot;#,##0.000;\-&quot;$&quot;#,##0.000"/>
    <numFmt numFmtId="178" formatCode="&quot;$&quot;#,##0.0000"/>
    <numFmt numFmtId="179" formatCode="[$-1009]mmmm\ d;@"/>
  </numFmts>
  <fonts count="58" x14ac:knownFonts="1">
    <font>
      <sz val="10"/>
      <name val="Arial"/>
    </font>
    <font>
      <sz val="10"/>
      <name val="Arial"/>
      <family val="2"/>
    </font>
    <font>
      <sz val="12"/>
      <name val="Arial"/>
      <family val="2"/>
    </font>
    <font>
      <sz val="12"/>
      <name val="Arial"/>
      <family val="2"/>
    </font>
    <font>
      <b/>
      <sz val="12"/>
      <name val="Arial"/>
      <family val="2"/>
    </font>
    <font>
      <b/>
      <u/>
      <sz val="12"/>
      <name val="Arial"/>
      <family val="2"/>
    </font>
    <font>
      <b/>
      <sz val="14"/>
      <color indexed="18"/>
      <name val="Arial"/>
      <family val="2"/>
    </font>
    <font>
      <b/>
      <sz val="12"/>
      <color indexed="12"/>
      <name val="Arial"/>
      <family val="2"/>
    </font>
    <font>
      <b/>
      <sz val="12"/>
      <color indexed="18"/>
      <name val="Arial"/>
      <family val="2"/>
    </font>
    <font>
      <u/>
      <sz val="12"/>
      <name val="Arial"/>
      <family val="2"/>
    </font>
    <font>
      <b/>
      <u/>
      <sz val="12"/>
      <color indexed="12"/>
      <name val="Arial"/>
      <family val="2"/>
    </font>
    <font>
      <b/>
      <sz val="16"/>
      <name val="Arial"/>
      <family val="2"/>
    </font>
    <font>
      <sz val="14"/>
      <name val="Arial"/>
      <family val="2"/>
    </font>
    <font>
      <sz val="12"/>
      <color indexed="10"/>
      <name val="Arial"/>
      <family val="2"/>
    </font>
    <font>
      <b/>
      <sz val="12"/>
      <color indexed="10"/>
      <name val="Arial"/>
      <family val="2"/>
    </font>
    <font>
      <sz val="8"/>
      <name val="Arial"/>
      <family val="2"/>
    </font>
    <font>
      <sz val="8"/>
      <color indexed="81"/>
      <name val="Tahoma"/>
      <family val="2"/>
    </font>
    <font>
      <b/>
      <sz val="14"/>
      <name val="Arial"/>
      <family val="2"/>
    </font>
    <font>
      <b/>
      <u/>
      <sz val="12"/>
      <color indexed="18"/>
      <name val="Arial"/>
      <family val="2"/>
    </font>
    <font>
      <sz val="22"/>
      <name val="Arial"/>
      <family val="2"/>
    </font>
    <font>
      <sz val="8"/>
      <name val="Arial"/>
      <family val="2"/>
    </font>
    <font>
      <b/>
      <sz val="14"/>
      <color indexed="13"/>
      <name val="Arial"/>
      <family val="2"/>
    </font>
    <font>
      <b/>
      <sz val="10"/>
      <color indexed="12"/>
      <name val="Arial"/>
      <family val="2"/>
    </font>
    <font>
      <sz val="10"/>
      <name val="Arial"/>
      <family val="2"/>
    </font>
    <font>
      <b/>
      <sz val="10"/>
      <name val="Arial"/>
      <family val="2"/>
    </font>
    <font>
      <sz val="16"/>
      <color indexed="18"/>
      <name val="Arial"/>
      <family val="2"/>
    </font>
    <font>
      <b/>
      <sz val="20"/>
      <color indexed="18"/>
      <name val="Arial"/>
      <family val="2"/>
    </font>
    <font>
      <sz val="10"/>
      <name val="Arial"/>
      <family val="2"/>
    </font>
    <font>
      <sz val="11"/>
      <name val="Arial"/>
      <family val="2"/>
    </font>
    <font>
      <b/>
      <sz val="11"/>
      <name val="Arial"/>
      <family val="2"/>
    </font>
    <font>
      <sz val="9"/>
      <color indexed="81"/>
      <name val="Tahoma"/>
      <family val="2"/>
    </font>
    <font>
      <b/>
      <vertAlign val="superscript"/>
      <sz val="14"/>
      <color indexed="9"/>
      <name val="Arial"/>
      <family val="2"/>
    </font>
    <font>
      <sz val="10"/>
      <name val="Arial"/>
      <family val="2"/>
    </font>
    <font>
      <u/>
      <sz val="10"/>
      <name val="Arial"/>
      <family val="2"/>
    </font>
    <font>
      <sz val="12"/>
      <name val="Calibri"/>
      <family val="2"/>
    </font>
    <font>
      <b/>
      <sz val="9"/>
      <color indexed="81"/>
      <name val="Tahoma"/>
      <family val="2"/>
    </font>
    <font>
      <sz val="26"/>
      <color indexed="10"/>
      <name val="Times New Roman"/>
      <family val="1"/>
    </font>
    <font>
      <i/>
      <sz val="8"/>
      <name val="Arial"/>
      <family val="2"/>
    </font>
    <font>
      <u/>
      <sz val="11"/>
      <color theme="10"/>
      <name val="Calibri"/>
      <family val="2"/>
    </font>
    <font>
      <sz val="12"/>
      <color rgb="FFFF0000"/>
      <name val="Arial"/>
      <family val="2"/>
    </font>
    <font>
      <sz val="10"/>
      <color rgb="FFFF0000"/>
      <name val="Arial"/>
      <family val="2"/>
    </font>
    <font>
      <b/>
      <sz val="12"/>
      <color rgb="FF0000FF"/>
      <name val="Arial"/>
      <family val="2"/>
    </font>
    <font>
      <sz val="10"/>
      <color theme="1"/>
      <name val="Arial"/>
      <family val="2"/>
    </font>
    <font>
      <b/>
      <sz val="10"/>
      <color theme="1"/>
      <name val="Arial"/>
      <family val="2"/>
    </font>
    <font>
      <b/>
      <sz val="12"/>
      <color theme="1"/>
      <name val="Arial"/>
      <family val="2"/>
    </font>
    <font>
      <b/>
      <u/>
      <sz val="11"/>
      <color theme="10"/>
      <name val="Arial"/>
      <family val="2"/>
    </font>
    <font>
      <b/>
      <sz val="12"/>
      <color theme="0"/>
      <name val="Arial"/>
      <family val="2"/>
    </font>
    <font>
      <b/>
      <sz val="10"/>
      <color theme="3" tint="0.39997558519241921"/>
      <name val="Arial"/>
      <family val="2"/>
    </font>
    <font>
      <b/>
      <sz val="12"/>
      <color theme="3" tint="0.39997558519241921"/>
      <name val="Arial"/>
      <family val="2"/>
    </font>
    <font>
      <b/>
      <sz val="14"/>
      <color theme="1"/>
      <name val="Arial"/>
      <family val="2"/>
    </font>
    <font>
      <sz val="11"/>
      <color theme="1"/>
      <name val="Arial"/>
      <family val="2"/>
    </font>
    <font>
      <sz val="8"/>
      <color theme="1"/>
      <name val="Arial"/>
      <family val="2"/>
    </font>
    <font>
      <b/>
      <sz val="14"/>
      <color rgb="FF008000"/>
      <name val="Calibri"/>
      <family val="2"/>
      <scheme val="minor"/>
    </font>
    <font>
      <b/>
      <sz val="14"/>
      <color theme="0"/>
      <name val="Arial"/>
      <family val="2"/>
    </font>
    <font>
      <b/>
      <sz val="16"/>
      <color theme="0"/>
      <name val="Arial"/>
      <family val="2"/>
    </font>
    <font>
      <b/>
      <sz val="11"/>
      <color rgb="FF0000FF"/>
      <name val="Arial"/>
      <family val="2"/>
    </font>
    <font>
      <u/>
      <sz val="10"/>
      <color theme="10"/>
      <name val="Arial"/>
      <family val="2"/>
    </font>
    <font>
      <sz val="12"/>
      <color theme="1"/>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1"/>
        <bgColor indexed="64"/>
      </patternFill>
    </fill>
  </fills>
  <borders count="2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rgb="FF0000FF"/>
      </bottom>
      <diagonal/>
    </border>
    <border>
      <left/>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s>
  <cellStyleXfs count="12">
    <xf numFmtId="0" fontId="0" fillId="0" borderId="0"/>
    <xf numFmtId="166" fontId="1" fillId="0" borderId="0" applyFont="0" applyFill="0" applyBorder="0" applyAlignment="0" applyProtection="0"/>
    <xf numFmtId="0" fontId="38" fillId="0" borderId="0" applyNumberFormat="0" applyFill="0" applyBorder="0" applyAlignment="0" applyProtection="0">
      <alignment vertical="top"/>
      <protection locked="0"/>
    </xf>
    <xf numFmtId="0" fontId="27" fillId="0" borderId="0">
      <alignment vertical="top"/>
    </xf>
    <xf numFmtId="0" fontId="23" fillId="0" borderId="0">
      <alignment vertical="top"/>
    </xf>
    <xf numFmtId="0" fontId="2" fillId="0" borderId="0">
      <alignment vertical="top"/>
    </xf>
    <xf numFmtId="0" fontId="2" fillId="0" borderId="0">
      <alignment vertical="top"/>
    </xf>
    <xf numFmtId="0" fontId="23" fillId="0" borderId="0"/>
    <xf numFmtId="0" fontId="32" fillId="0" borderId="0">
      <alignment vertical="top"/>
    </xf>
    <xf numFmtId="168" fontId="2" fillId="0" borderId="0">
      <alignment vertical="top"/>
    </xf>
    <xf numFmtId="9" fontId="1" fillId="0" borderId="0" applyFont="0" applyFill="0" applyBorder="0" applyAlignment="0" applyProtection="0"/>
    <xf numFmtId="0" fontId="56" fillId="0" borderId="0" applyNumberFormat="0" applyFill="0" applyBorder="0" applyAlignment="0" applyProtection="0"/>
  </cellStyleXfs>
  <cellXfs count="358">
    <xf numFmtId="0" fontId="0" fillId="0" borderId="0" xfId="0"/>
    <xf numFmtId="0" fontId="2" fillId="0" borderId="0" xfId="0" applyFont="1"/>
    <xf numFmtId="0" fontId="3" fillId="0" borderId="0" xfId="0" applyFont="1"/>
    <xf numFmtId="0" fontId="4" fillId="0" borderId="0" xfId="0" applyFont="1"/>
    <xf numFmtId="0" fontId="7" fillId="0" borderId="0" xfId="0" applyFont="1" applyProtection="1">
      <protection locked="0"/>
    </xf>
    <xf numFmtId="167" fontId="7" fillId="0" borderId="0" xfId="0" applyNumberFormat="1" applyFont="1" applyProtection="1">
      <protection locked="0"/>
    </xf>
    <xf numFmtId="3" fontId="7" fillId="0" borderId="0" xfId="0" applyNumberFormat="1" applyFont="1" applyProtection="1">
      <protection locked="0"/>
    </xf>
    <xf numFmtId="168" fontId="7" fillId="0" borderId="0" xfId="0" applyNumberFormat="1" applyFont="1" applyProtection="1">
      <protection locked="0"/>
    </xf>
    <xf numFmtId="0" fontId="3" fillId="0" borderId="0" xfId="0" applyFont="1" applyAlignment="1">
      <alignment horizontal="left"/>
    </xf>
    <xf numFmtId="0" fontId="3" fillId="0" borderId="1" xfId="0" applyFont="1" applyBorder="1"/>
    <xf numFmtId="0" fontId="9" fillId="0" borderId="0" xfId="0" applyFont="1"/>
    <xf numFmtId="168" fontId="4" fillId="0" borderId="0" xfId="0" applyNumberFormat="1" applyFont="1"/>
    <xf numFmtId="0" fontId="5" fillId="0" borderId="0" xfId="0" applyFont="1"/>
    <xf numFmtId="0" fontId="2" fillId="0" borderId="0" xfId="0" applyFont="1" applyProtection="1">
      <protection locked="0"/>
    </xf>
    <xf numFmtId="0" fontId="0" fillId="0" borderId="0" xfId="0" applyAlignment="1">
      <alignment horizontal="center"/>
    </xf>
    <xf numFmtId="0" fontId="5" fillId="0" borderId="0" xfId="0" applyFont="1" applyAlignment="1">
      <alignment horizontal="center"/>
    </xf>
    <xf numFmtId="5" fontId="4" fillId="0" borderId="0" xfId="0" applyNumberFormat="1" applyFont="1" applyProtection="1">
      <protection locked="0"/>
    </xf>
    <xf numFmtId="0" fontId="4" fillId="0" borderId="0" xfId="0" applyFont="1" applyAlignment="1">
      <alignment horizontal="center"/>
    </xf>
    <xf numFmtId="2" fontId="2" fillId="0" borderId="0" xfId="0" applyNumberFormat="1" applyFont="1"/>
    <xf numFmtId="171" fontId="7" fillId="0" borderId="0" xfId="0" applyNumberFormat="1" applyFont="1" applyProtection="1">
      <protection locked="0"/>
    </xf>
    <xf numFmtId="0" fontId="13" fillId="0" borderId="0" xfId="0" applyFont="1"/>
    <xf numFmtId="0" fontId="14" fillId="0" borderId="0" xfId="0" applyFont="1" applyAlignment="1">
      <alignment horizontal="center"/>
    </xf>
    <xf numFmtId="3" fontId="7" fillId="0" borderId="0" xfId="0" applyNumberFormat="1" applyFont="1" applyAlignment="1">
      <alignment horizontal="right"/>
    </xf>
    <xf numFmtId="171" fontId="7" fillId="0" borderId="0" xfId="0" applyNumberFormat="1" applyFont="1"/>
    <xf numFmtId="3" fontId="7" fillId="0" borderId="0" xfId="0" applyNumberFormat="1" applyFont="1"/>
    <xf numFmtId="0" fontId="7" fillId="0" borderId="0" xfId="0" applyFont="1"/>
    <xf numFmtId="171" fontId="4" fillId="0" borderId="0" xfId="0" applyNumberFormat="1" applyFont="1"/>
    <xf numFmtId="0" fontId="3" fillId="0" borderId="0" xfId="0" quotePrefix="1" applyFont="1"/>
    <xf numFmtId="0" fontId="2" fillId="0" borderId="0" xfId="0" applyFont="1" applyAlignment="1">
      <alignment horizontal="center"/>
    </xf>
    <xf numFmtId="1" fontId="0" fillId="0" borderId="0" xfId="0" applyNumberFormat="1"/>
    <xf numFmtId="169" fontId="3" fillId="0" borderId="0" xfId="0" applyNumberFormat="1" applyFont="1"/>
    <xf numFmtId="2" fontId="3" fillId="0" borderId="0" xfId="0" applyNumberFormat="1" applyFont="1"/>
    <xf numFmtId="1" fontId="3" fillId="0" borderId="0" xfId="0" applyNumberFormat="1" applyFont="1"/>
    <xf numFmtId="0" fontId="18" fillId="0" borderId="0" xfId="0" applyFont="1" applyAlignment="1">
      <alignment horizontal="right"/>
    </xf>
    <xf numFmtId="1" fontId="3" fillId="0" borderId="0" xfId="0" quotePrefix="1" applyNumberFormat="1" applyFont="1"/>
    <xf numFmtId="0" fontId="12" fillId="0" borderId="0" xfId="0" applyFont="1"/>
    <xf numFmtId="0" fontId="3" fillId="0" borderId="0" xfId="0" applyFont="1" applyAlignment="1">
      <alignment vertical="top"/>
    </xf>
    <xf numFmtId="0" fontId="3" fillId="0" borderId="0" xfId="0" applyFont="1" applyAlignment="1">
      <alignment horizontal="right"/>
    </xf>
    <xf numFmtId="0" fontId="5" fillId="0" borderId="1" xfId="0" applyFont="1" applyBorder="1" applyAlignment="1">
      <alignment horizontal="center"/>
    </xf>
    <xf numFmtId="0" fontId="39" fillId="0" borderId="0" xfId="0" applyFont="1"/>
    <xf numFmtId="0" fontId="40" fillId="0" borderId="0" xfId="0" applyFont="1"/>
    <xf numFmtId="168" fontId="2" fillId="0" borderId="0" xfId="9">
      <alignment vertical="top"/>
    </xf>
    <xf numFmtId="168" fontId="19" fillId="0" borderId="0" xfId="9" applyFont="1" applyAlignment="1">
      <alignment vertical="center"/>
    </xf>
    <xf numFmtId="168" fontId="2" fillId="0" borderId="0" xfId="9" applyAlignment="1">
      <alignment vertical="center"/>
    </xf>
    <xf numFmtId="17" fontId="17" fillId="0" borderId="0" xfId="9" applyNumberFormat="1" applyFont="1" applyAlignment="1">
      <alignment horizontal="right" vertical="top"/>
    </xf>
    <xf numFmtId="0" fontId="17" fillId="0" borderId="0" xfId="9" applyNumberFormat="1" applyFont="1" applyAlignment="1">
      <alignment horizontal="left" vertical="top"/>
    </xf>
    <xf numFmtId="168" fontId="12" fillId="0" borderId="0" xfId="9" applyFont="1" applyAlignment="1">
      <alignment horizontal="left" vertical="top" wrapText="1"/>
    </xf>
    <xf numFmtId="168" fontId="12" fillId="0" borderId="0" xfId="9" applyFont="1" applyAlignment="1">
      <alignment vertical="top" wrapText="1"/>
    </xf>
    <xf numFmtId="168" fontId="12" fillId="0" borderId="0" xfId="9" applyFont="1" applyAlignment="1">
      <alignment horizontal="center" vertical="top" wrapText="1"/>
    </xf>
    <xf numFmtId="168" fontId="12" fillId="0" borderId="0" xfId="9" applyFont="1">
      <alignment vertical="top"/>
    </xf>
    <xf numFmtId="168" fontId="12" fillId="0" borderId="0" xfId="9" applyFont="1" applyAlignment="1">
      <alignment vertical="center"/>
    </xf>
    <xf numFmtId="3" fontId="12" fillId="0" borderId="0" xfId="3" applyNumberFormat="1" applyFont="1">
      <alignment vertical="top"/>
    </xf>
    <xf numFmtId="168" fontId="28" fillId="0" borderId="0" xfId="9" applyFont="1" applyAlignment="1">
      <alignment vertical="top" wrapText="1"/>
    </xf>
    <xf numFmtId="168" fontId="2" fillId="0" borderId="0" xfId="0" applyNumberFormat="1" applyFont="1"/>
    <xf numFmtId="170" fontId="2" fillId="0" borderId="0" xfId="0" applyNumberFormat="1" applyFont="1"/>
    <xf numFmtId="168" fontId="9" fillId="0" borderId="0" xfId="0" applyNumberFormat="1" applyFont="1"/>
    <xf numFmtId="170" fontId="9" fillId="0" borderId="0" xfId="0" applyNumberFormat="1" applyFont="1"/>
    <xf numFmtId="170" fontId="4" fillId="0" borderId="0" xfId="0" applyNumberFormat="1" applyFont="1"/>
    <xf numFmtId="0" fontId="4" fillId="0" borderId="1" xfId="0" applyFont="1" applyBorder="1"/>
    <xf numFmtId="4" fontId="7" fillId="0" borderId="0" xfId="0" applyNumberFormat="1" applyFont="1" applyProtection="1">
      <protection locked="0"/>
    </xf>
    <xf numFmtId="0" fontId="23" fillId="0" borderId="0" xfId="0" applyFont="1"/>
    <xf numFmtId="0" fontId="23" fillId="0" borderId="6" xfId="0" applyFont="1" applyBorder="1"/>
    <xf numFmtId="0" fontId="4" fillId="0" borderId="6" xfId="0" applyFont="1" applyBorder="1" applyAlignment="1">
      <alignment horizontal="left"/>
    </xf>
    <xf numFmtId="0" fontId="2" fillId="0" borderId="0" xfId="0" applyFont="1" applyAlignment="1">
      <alignment vertical="top"/>
    </xf>
    <xf numFmtId="0" fontId="28" fillId="0" borderId="0" xfId="0" applyFont="1"/>
    <xf numFmtId="0" fontId="4" fillId="0" borderId="1" xfId="0" applyFont="1" applyBorder="1" applyAlignment="1">
      <alignment horizontal="center"/>
    </xf>
    <xf numFmtId="0" fontId="6" fillId="0" borderId="0" xfId="0" applyFont="1" applyAlignment="1">
      <alignment horizontal="center"/>
    </xf>
    <xf numFmtId="0" fontId="8" fillId="0" borderId="0" xfId="0" applyFont="1" applyAlignment="1">
      <alignment horizontal="center"/>
    </xf>
    <xf numFmtId="0" fontId="2" fillId="0" borderId="0" xfId="0" applyFont="1" applyAlignment="1">
      <alignment vertical="center"/>
    </xf>
    <xf numFmtId="172" fontId="4" fillId="0" borderId="0" xfId="0" applyNumberFormat="1" applyFont="1"/>
    <xf numFmtId="7" fontId="2" fillId="0" borderId="0" xfId="0" applyNumberFormat="1" applyFont="1"/>
    <xf numFmtId="9" fontId="7" fillId="0" borderId="0" xfId="0" applyNumberFormat="1" applyFont="1" applyProtection="1">
      <protection locked="0"/>
    </xf>
    <xf numFmtId="7" fontId="2" fillId="0" borderId="0" xfId="0" applyNumberFormat="1" applyFont="1" applyAlignment="1">
      <alignment horizontal="center"/>
    </xf>
    <xf numFmtId="175" fontId="4" fillId="0" borderId="0" xfId="0" applyNumberFormat="1" applyFont="1"/>
    <xf numFmtId="0" fontId="29" fillId="0" borderId="0" xfId="0" applyFont="1" applyAlignment="1">
      <alignment horizontal="left"/>
    </xf>
    <xf numFmtId="0" fontId="29" fillId="0" borderId="0" xfId="0" applyFont="1"/>
    <xf numFmtId="0" fontId="7" fillId="0" borderId="0" xfId="0" applyFont="1" applyAlignment="1" applyProtection="1">
      <alignment horizontal="center"/>
      <protection locked="0"/>
    </xf>
    <xf numFmtId="175" fontId="4" fillId="0" borderId="0" xfId="0" applyNumberFormat="1" applyFont="1" applyAlignment="1">
      <alignment horizontal="center"/>
    </xf>
    <xf numFmtId="0" fontId="7" fillId="0" borderId="0" xfId="0" applyFont="1" applyAlignment="1">
      <alignment horizontal="center"/>
    </xf>
    <xf numFmtId="0" fontId="0" fillId="0" borderId="1" xfId="0" applyBorder="1"/>
    <xf numFmtId="0" fontId="4" fillId="0" borderId="0" xfId="0" applyFont="1" applyAlignment="1">
      <alignment horizontal="centerContinuous"/>
    </xf>
    <xf numFmtId="0" fontId="5" fillId="0" borderId="0" xfId="0" applyFont="1" applyAlignment="1">
      <alignment horizontal="left"/>
    </xf>
    <xf numFmtId="0" fontId="5" fillId="0" borderId="0" xfId="0" applyFont="1" applyAlignment="1">
      <alignment horizontal="centerContinuous"/>
    </xf>
    <xf numFmtId="7" fontId="7" fillId="0" borderId="0" xfId="0" applyNumberFormat="1" applyFont="1" applyProtection="1">
      <protection locked="0"/>
    </xf>
    <xf numFmtId="168" fontId="7" fillId="0" borderId="0" xfId="0" applyNumberFormat="1" applyFont="1"/>
    <xf numFmtId="2" fontId="7" fillId="0" borderId="0" xfId="0" applyNumberFormat="1" applyFont="1" applyProtection="1">
      <protection locked="0"/>
    </xf>
    <xf numFmtId="7" fontId="7" fillId="0" borderId="0" xfId="0" applyNumberFormat="1" applyFont="1"/>
    <xf numFmtId="4" fontId="2" fillId="0" borderId="0" xfId="0" applyNumberFormat="1" applyFont="1"/>
    <xf numFmtId="168" fontId="5" fillId="0" borderId="0" xfId="0" applyNumberFormat="1" applyFont="1"/>
    <xf numFmtId="0" fontId="4" fillId="0" borderId="1" xfId="0" applyFont="1" applyBorder="1" applyAlignment="1">
      <alignment horizontal="center" wrapText="1"/>
    </xf>
    <xf numFmtId="0" fontId="2" fillId="0" borderId="0" xfId="3" applyFont="1" applyAlignment="1"/>
    <xf numFmtId="7" fontId="4" fillId="0" borderId="0" xfId="3" applyNumberFormat="1" applyFont="1" applyAlignment="1"/>
    <xf numFmtId="3" fontId="7" fillId="0" borderId="0" xfId="0" applyNumberFormat="1" applyFont="1" applyAlignment="1" applyProtection="1">
      <alignment horizontal="right"/>
      <protection locked="0"/>
    </xf>
    <xf numFmtId="0" fontId="11" fillId="0" borderId="0" xfId="0" applyFont="1" applyAlignment="1">
      <alignment horizontal="center"/>
    </xf>
    <xf numFmtId="5" fontId="4" fillId="0" borderId="0" xfId="3" applyNumberFormat="1" applyFont="1" applyAlignment="1"/>
    <xf numFmtId="0" fontId="4" fillId="0" borderId="7" xfId="0" applyFont="1" applyBorder="1" applyAlignment="1">
      <alignment horizontal="center"/>
    </xf>
    <xf numFmtId="4" fontId="7" fillId="0" borderId="0" xfId="0" applyNumberFormat="1" applyFont="1"/>
    <xf numFmtId="0" fontId="10" fillId="0" borderId="0" xfId="0" applyFont="1" applyProtection="1">
      <protection locked="0"/>
    </xf>
    <xf numFmtId="171" fontId="5" fillId="0" borderId="0" xfId="0" applyNumberFormat="1" applyFont="1"/>
    <xf numFmtId="3" fontId="4" fillId="0" borderId="0" xfId="0" applyNumberFormat="1" applyFont="1"/>
    <xf numFmtId="0" fontId="29" fillId="0" borderId="7" xfId="0" applyFont="1" applyBorder="1" applyProtection="1">
      <protection locked="0"/>
    </xf>
    <xf numFmtId="7" fontId="29" fillId="0" borderId="7" xfId="3" applyNumberFormat="1" applyFont="1" applyBorder="1" applyAlignment="1"/>
    <xf numFmtId="5" fontId="29" fillId="0" borderId="7" xfId="3" applyNumberFormat="1" applyFont="1" applyBorder="1" applyAlignment="1"/>
    <xf numFmtId="0" fontId="23" fillId="0" borderId="0" xfId="0" applyFont="1" applyProtection="1">
      <protection locked="0"/>
    </xf>
    <xf numFmtId="5" fontId="4" fillId="0" borderId="0" xfId="3" applyNumberFormat="1" applyFont="1" applyAlignment="1">
      <alignment horizontal="right"/>
    </xf>
    <xf numFmtId="0" fontId="24" fillId="0" borderId="1" xfId="0" applyFont="1" applyBorder="1" applyAlignment="1">
      <alignment horizontal="center" wrapText="1"/>
    </xf>
    <xf numFmtId="0" fontId="14" fillId="0" borderId="0" xfId="0" applyFont="1" applyAlignment="1" applyProtection="1">
      <alignment horizontal="center"/>
      <protection locked="0"/>
    </xf>
    <xf numFmtId="0" fontId="4" fillId="0" borderId="0" xfId="0" applyFont="1" applyAlignment="1">
      <alignment horizontal="right"/>
    </xf>
    <xf numFmtId="0" fontId="4" fillId="0" borderId="0" xfId="0" applyFont="1" applyAlignment="1">
      <alignment horizontal="left"/>
    </xf>
    <xf numFmtId="2" fontId="4" fillId="0" borderId="0" xfId="0" applyNumberFormat="1" applyFont="1" applyAlignment="1">
      <alignment horizontal="center"/>
    </xf>
    <xf numFmtId="168" fontId="41" fillId="0" borderId="20" xfId="0" applyNumberFormat="1" applyFont="1" applyBorder="1" applyProtection="1">
      <protection locked="0"/>
    </xf>
    <xf numFmtId="7" fontId="4" fillId="0" borderId="21" xfId="0" applyNumberFormat="1" applyFont="1" applyBorder="1"/>
    <xf numFmtId="168" fontId="4" fillId="0" borderId="6" xfId="0" applyNumberFormat="1" applyFont="1" applyBorder="1"/>
    <xf numFmtId="168" fontId="28" fillId="0" borderId="0" xfId="9" applyFont="1">
      <alignment vertical="top"/>
    </xf>
    <xf numFmtId="0" fontId="42" fillId="0" borderId="1" xfId="0" applyFont="1" applyBorder="1" applyAlignment="1">
      <alignment horizontal="left" vertical="center"/>
    </xf>
    <xf numFmtId="0" fontId="43" fillId="0" borderId="1" xfId="0" applyFont="1" applyBorder="1"/>
    <xf numFmtId="168" fontId="2" fillId="0" borderId="0" xfId="9" applyAlignment="1">
      <alignment horizontal="right" vertical="top"/>
    </xf>
    <xf numFmtId="168" fontId="4" fillId="0" borderId="0" xfId="9" applyFont="1">
      <alignment vertical="top"/>
    </xf>
    <xf numFmtId="0" fontId="0" fillId="0" borderId="1" xfId="8" applyFont="1" applyBorder="1" applyAlignment="1"/>
    <xf numFmtId="0" fontId="44" fillId="0" borderId="1" xfId="8" applyFont="1" applyBorder="1" applyAlignment="1">
      <alignment horizontal="right"/>
    </xf>
    <xf numFmtId="0" fontId="0" fillId="0" borderId="0" xfId="8" applyFont="1" applyAlignment="1"/>
    <xf numFmtId="0" fontId="44" fillId="0" borderId="0" xfId="8" applyFont="1" applyAlignment="1">
      <alignment horizontal="right"/>
    </xf>
    <xf numFmtId="0" fontId="0" fillId="0" borderId="0" xfId="8" applyFont="1" applyAlignment="1">
      <alignment horizontal="right"/>
    </xf>
    <xf numFmtId="169" fontId="0" fillId="0" borderId="0" xfId="8" applyNumberFormat="1" applyFont="1" applyAlignment="1"/>
    <xf numFmtId="168" fontId="0" fillId="0" borderId="0" xfId="8" applyNumberFormat="1" applyFont="1" applyAlignment="1"/>
    <xf numFmtId="0" fontId="28" fillId="0" borderId="0" xfId="8" applyFont="1" applyAlignment="1"/>
    <xf numFmtId="168" fontId="5" fillId="0" borderId="0" xfId="9" applyFont="1">
      <alignment vertical="top"/>
    </xf>
    <xf numFmtId="0" fontId="0" fillId="0" borderId="6" xfId="0" applyBorder="1" applyAlignment="1">
      <alignment wrapText="1"/>
    </xf>
    <xf numFmtId="0" fontId="0" fillId="0" borderId="0" xfId="0" applyAlignment="1">
      <alignment wrapText="1"/>
    </xf>
    <xf numFmtId="0" fontId="15" fillId="0" borderId="8" xfId="0" applyFont="1" applyBorder="1"/>
    <xf numFmtId="0" fontId="3" fillId="0" borderId="9" xfId="0" applyFont="1" applyBorder="1"/>
    <xf numFmtId="0" fontId="4" fillId="0" borderId="9" xfId="0" applyFont="1" applyBorder="1" applyAlignment="1">
      <alignment vertical="center"/>
    </xf>
    <xf numFmtId="0" fontId="4" fillId="0" borderId="9" xfId="0" applyFont="1" applyBorder="1"/>
    <xf numFmtId="169" fontId="3" fillId="0" borderId="9" xfId="0" applyNumberFormat="1" applyFont="1" applyBorder="1" applyAlignment="1">
      <alignment horizontal="center"/>
    </xf>
    <xf numFmtId="169" fontId="3" fillId="0" borderId="10" xfId="0" applyNumberFormat="1" applyFont="1" applyBorder="1" applyAlignment="1">
      <alignment horizontal="center"/>
    </xf>
    <xf numFmtId="0" fontId="29" fillId="0" borderId="11" xfId="0" applyFont="1" applyBorder="1"/>
    <xf numFmtId="0" fontId="0" fillId="0" borderId="6" xfId="0" applyBorder="1"/>
    <xf numFmtId="0" fontId="0" fillId="0" borderId="12" xfId="0" applyBorder="1"/>
    <xf numFmtId="2" fontId="4" fillId="0" borderId="0" xfId="0" applyNumberFormat="1" applyFont="1"/>
    <xf numFmtId="0" fontId="2" fillId="0" borderId="0" xfId="0" applyFont="1" applyAlignment="1">
      <alignment horizontal="left"/>
    </xf>
    <xf numFmtId="0" fontId="15" fillId="0" borderId="0" xfId="0" applyFont="1" applyAlignment="1">
      <alignment horizontal="right"/>
    </xf>
    <xf numFmtId="164" fontId="45" fillId="0" borderId="0" xfId="2" applyNumberFormat="1" applyFont="1" applyAlignment="1" applyProtection="1"/>
    <xf numFmtId="168" fontId="23" fillId="0" borderId="0" xfId="9" applyFont="1" applyAlignment="1">
      <alignment horizontal="left" vertical="top" wrapText="1"/>
    </xf>
    <xf numFmtId="0" fontId="5" fillId="0" borderId="0" xfId="4" applyFont="1" applyAlignment="1"/>
    <xf numFmtId="0" fontId="2" fillId="0" borderId="0" xfId="4" applyFont="1" applyAlignment="1"/>
    <xf numFmtId="176" fontId="7" fillId="0" borderId="0" xfId="0" applyNumberFormat="1" applyFont="1" applyProtection="1">
      <protection locked="0"/>
    </xf>
    <xf numFmtId="3" fontId="41" fillId="0" borderId="0" xfId="4" applyNumberFormat="1" applyFont="1" applyAlignment="1" applyProtection="1">
      <alignment horizontal="right"/>
      <protection locked="0"/>
    </xf>
    <xf numFmtId="8" fontId="4" fillId="0" borderId="0" xfId="4" applyNumberFormat="1" applyFont="1" applyAlignment="1"/>
    <xf numFmtId="168" fontId="5" fillId="0" borderId="0" xfId="4" applyNumberFormat="1" applyFont="1" applyAlignment="1"/>
    <xf numFmtId="0" fontId="4" fillId="0" borderId="0" xfId="4" applyFont="1" applyAlignment="1"/>
    <xf numFmtId="7" fontId="4" fillId="0" borderId="0" xfId="4" applyNumberFormat="1" applyFont="1" applyAlignment="1"/>
    <xf numFmtId="5" fontId="7" fillId="0" borderId="0" xfId="4" applyNumberFormat="1" applyFont="1" applyAlignment="1" applyProtection="1">
      <protection locked="0"/>
    </xf>
    <xf numFmtId="9" fontId="4" fillId="0" borderId="0" xfId="4" applyNumberFormat="1" applyFont="1" applyAlignment="1"/>
    <xf numFmtId="10" fontId="7" fillId="0" borderId="0" xfId="0" applyNumberFormat="1" applyFont="1" applyAlignment="1" applyProtection="1">
      <alignment horizontal="right"/>
      <protection locked="0"/>
    </xf>
    <xf numFmtId="0" fontId="46" fillId="0" borderId="0" xfId="0" applyFont="1" applyAlignment="1">
      <alignment horizontal="center"/>
    </xf>
    <xf numFmtId="6" fontId="4" fillId="0" borderId="0" xfId="0" applyNumberFormat="1" applyFont="1"/>
    <xf numFmtId="6" fontId="5" fillId="0" borderId="0" xfId="0" applyNumberFormat="1" applyFont="1"/>
    <xf numFmtId="5" fontId="4" fillId="0" borderId="0" xfId="4" applyNumberFormat="1" applyFont="1" applyAlignment="1"/>
    <xf numFmtId="1" fontId="4" fillId="0" borderId="0" xfId="0" applyNumberFormat="1" applyFont="1"/>
    <xf numFmtId="168" fontId="2" fillId="0" borderId="0" xfId="9" applyAlignment="1">
      <alignment vertical="top" wrapText="1"/>
    </xf>
    <xf numFmtId="1" fontId="4" fillId="0" borderId="0" xfId="0" applyNumberFormat="1" applyFont="1" applyAlignment="1">
      <alignment horizontal="center"/>
    </xf>
    <xf numFmtId="0" fontId="4" fillId="0" borderId="0" xfId="3" applyFont="1" applyAlignment="1"/>
    <xf numFmtId="0" fontId="23" fillId="0" borderId="0" xfId="4" applyAlignment="1"/>
    <xf numFmtId="168" fontId="2" fillId="0" borderId="0" xfId="9" applyAlignment="1">
      <alignment horizontal="left" wrapText="1"/>
    </xf>
    <xf numFmtId="168" fontId="2" fillId="0" borderId="0" xfId="9" applyAlignment="1"/>
    <xf numFmtId="168" fontId="23" fillId="0" borderId="0" xfId="9" applyFont="1" applyAlignment="1">
      <alignment horizontal="left"/>
    </xf>
    <xf numFmtId="168" fontId="23" fillId="0" borderId="0" xfId="9" applyFont="1" applyAlignment="1">
      <alignment horizontal="left" wrapText="1"/>
    </xf>
    <xf numFmtId="168" fontId="33" fillId="0" borderId="0" xfId="9" applyFont="1" applyAlignment="1"/>
    <xf numFmtId="168" fontId="23" fillId="0" borderId="0" xfId="9" applyFont="1">
      <alignment vertical="top"/>
    </xf>
    <xf numFmtId="169" fontId="2" fillId="0" borderId="0" xfId="0" applyNumberFormat="1" applyFont="1"/>
    <xf numFmtId="0" fontId="15" fillId="0" borderId="0" xfId="0" applyFont="1" applyAlignment="1">
      <alignment vertical="top"/>
    </xf>
    <xf numFmtId="0" fontId="2" fillId="0" borderId="0" xfId="0" applyFont="1" applyAlignment="1">
      <alignment horizontal="right"/>
    </xf>
    <xf numFmtId="171" fontId="7" fillId="0" borderId="0" xfId="0" applyNumberFormat="1" applyFont="1" applyAlignment="1" applyProtection="1">
      <alignment horizontal="center"/>
      <protection locked="0"/>
    </xf>
    <xf numFmtId="9" fontId="7" fillId="0" borderId="0" xfId="0" applyNumberFormat="1" applyFont="1" applyAlignment="1" applyProtection="1">
      <alignment horizontal="center"/>
      <protection locked="0"/>
    </xf>
    <xf numFmtId="177" fontId="7" fillId="0" borderId="0" xfId="0" applyNumberFormat="1" applyFont="1" applyProtection="1">
      <protection locked="0"/>
    </xf>
    <xf numFmtId="0" fontId="2" fillId="0" borderId="0" xfId="4" applyFont="1" applyAlignment="1">
      <alignment horizontal="center"/>
    </xf>
    <xf numFmtId="8" fontId="2" fillId="0" borderId="0" xfId="4" applyNumberFormat="1" applyFont="1" applyAlignment="1"/>
    <xf numFmtId="8" fontId="4" fillId="2" borderId="0" xfId="4" applyNumberFormat="1" applyFont="1" applyFill="1" applyAlignment="1"/>
    <xf numFmtId="9" fontId="4" fillId="0" borderId="0" xfId="1" applyNumberFormat="1" applyFont="1" applyAlignment="1">
      <alignment horizontal="right" vertical="justify"/>
    </xf>
    <xf numFmtId="171" fontId="41" fillId="0" borderId="0" xfId="0" applyNumberFormat="1" applyFont="1" applyProtection="1">
      <protection locked="0"/>
    </xf>
    <xf numFmtId="9" fontId="41" fillId="0" borderId="0" xfId="1" applyNumberFormat="1" applyFont="1" applyAlignment="1">
      <alignment horizontal="right" vertical="justify"/>
    </xf>
    <xf numFmtId="0" fontId="0" fillId="3" borderId="0" xfId="0" applyFill="1"/>
    <xf numFmtId="0" fontId="2" fillId="3" borderId="0" xfId="4" applyFont="1" applyFill="1" applyAlignment="1"/>
    <xf numFmtId="0" fontId="2" fillId="0" borderId="0" xfId="4" applyFont="1" applyAlignment="1">
      <alignment wrapText="1"/>
    </xf>
    <xf numFmtId="9" fontId="41" fillId="0" borderId="0" xfId="1" applyNumberFormat="1" applyFont="1" applyFill="1" applyAlignment="1">
      <alignment horizontal="right" vertical="justify"/>
    </xf>
    <xf numFmtId="6" fontId="0" fillId="0" borderId="0" xfId="0" applyNumberFormat="1"/>
    <xf numFmtId="6" fontId="2" fillId="0" borderId="0" xfId="4" applyNumberFormat="1" applyFont="1" applyAlignment="1"/>
    <xf numFmtId="173" fontId="4" fillId="0" borderId="0" xfId="0" applyNumberFormat="1" applyFont="1"/>
    <xf numFmtId="174" fontId="41" fillId="0" borderId="0" xfId="0" applyNumberFormat="1" applyFont="1"/>
    <xf numFmtId="0" fontId="4" fillId="2" borderId="0" xfId="4" applyFont="1" applyFill="1" applyAlignment="1"/>
    <xf numFmtId="0" fontId="2" fillId="2" borderId="0" xfId="4" applyFont="1" applyFill="1" applyAlignment="1"/>
    <xf numFmtId="0" fontId="2" fillId="0" borderId="15" xfId="4" applyFont="1" applyBorder="1" applyAlignment="1"/>
    <xf numFmtId="0" fontId="2" fillId="0" borderId="8" xfId="4" applyFont="1" applyBorder="1" applyAlignment="1"/>
    <xf numFmtId="0" fontId="2" fillId="0" borderId="9" xfId="4" applyFont="1" applyBorder="1" applyAlignment="1"/>
    <xf numFmtId="0" fontId="2" fillId="0" borderId="10" xfId="4" applyFont="1" applyBorder="1" applyAlignment="1"/>
    <xf numFmtId="0" fontId="2" fillId="0" borderId="16" xfId="4" applyFont="1" applyBorder="1" applyAlignment="1"/>
    <xf numFmtId="0" fontId="2" fillId="0" borderId="14" xfId="4" applyFont="1" applyBorder="1" applyAlignment="1"/>
    <xf numFmtId="0" fontId="2" fillId="0" borderId="13" xfId="4" applyFont="1" applyBorder="1" applyAlignment="1"/>
    <xf numFmtId="0" fontId="2" fillId="0" borderId="0" xfId="4" applyFont="1" applyAlignment="1">
      <alignment horizontal="right"/>
    </xf>
    <xf numFmtId="7" fontId="4" fillId="0" borderId="0" xfId="0" applyNumberFormat="1" applyFont="1"/>
    <xf numFmtId="0" fontId="47" fillId="0" borderId="0" xfId="0" applyFont="1"/>
    <xf numFmtId="0" fontId="2" fillId="2" borderId="0" xfId="0" applyFont="1" applyFill="1"/>
    <xf numFmtId="0" fontId="48" fillId="0" borderId="0" xfId="0" applyFont="1"/>
    <xf numFmtId="0" fontId="2" fillId="2" borderId="8" xfId="0" applyFont="1" applyFill="1" applyBorder="1"/>
    <xf numFmtId="0" fontId="2" fillId="2" borderId="10" xfId="0" applyFont="1" applyFill="1" applyBorder="1"/>
    <xf numFmtId="0" fontId="2" fillId="2" borderId="14" xfId="0" applyFont="1" applyFill="1" applyBorder="1"/>
    <xf numFmtId="0" fontId="2" fillId="2" borderId="13" xfId="0" applyFont="1" applyFill="1" applyBorder="1"/>
    <xf numFmtId="0" fontId="2" fillId="2" borderId="11" xfId="0" applyFont="1" applyFill="1" applyBorder="1"/>
    <xf numFmtId="0" fontId="2" fillId="2" borderId="12" xfId="0" applyFont="1" applyFill="1" applyBorder="1"/>
    <xf numFmtId="0" fontId="2" fillId="0" borderId="6" xfId="0" applyFont="1" applyBorder="1"/>
    <xf numFmtId="0" fontId="41" fillId="0" borderId="0" xfId="0" applyFont="1"/>
    <xf numFmtId="3" fontId="2" fillId="0" borderId="0" xfId="0" applyNumberFormat="1" applyFont="1"/>
    <xf numFmtId="3" fontId="2" fillId="0" borderId="1" xfId="0" applyNumberFormat="1" applyFont="1" applyBorder="1"/>
    <xf numFmtId="0" fontId="23" fillId="0" borderId="0" xfId="0" applyFont="1" applyAlignment="1">
      <alignment vertical="center"/>
    </xf>
    <xf numFmtId="3" fontId="4" fillId="0" borderId="0" xfId="0" applyNumberFormat="1" applyFont="1" applyAlignment="1">
      <alignment horizontal="center"/>
    </xf>
    <xf numFmtId="3" fontId="2" fillId="0" borderId="0" xfId="0" applyNumberFormat="1" applyFont="1" applyAlignment="1">
      <alignment horizontal="center"/>
    </xf>
    <xf numFmtId="0" fontId="29" fillId="0" borderId="1" xfId="0" applyFont="1" applyBorder="1" applyAlignment="1">
      <alignment horizontal="center" wrapText="1"/>
    </xf>
    <xf numFmtId="178" fontId="4" fillId="0" borderId="0" xfId="0" applyNumberFormat="1" applyFont="1"/>
    <xf numFmtId="0" fontId="34" fillId="0" borderId="0" xfId="0" applyFont="1"/>
    <xf numFmtId="16" fontId="2" fillId="0" borderId="0" xfId="0" applyNumberFormat="1" applyFont="1"/>
    <xf numFmtId="179" fontId="2" fillId="0" borderId="0" xfId="0" applyNumberFormat="1" applyFont="1"/>
    <xf numFmtId="0" fontId="36"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37" fillId="0" borderId="0" xfId="0" applyFont="1" applyAlignment="1">
      <alignment vertical="center"/>
    </xf>
    <xf numFmtId="0" fontId="49" fillId="0" borderId="0" xfId="0" applyFont="1"/>
    <xf numFmtId="0" fontId="50" fillId="0" borderId="0" xfId="0" applyFont="1" applyAlignment="1">
      <alignment horizontal="center"/>
    </xf>
    <xf numFmtId="0" fontId="51" fillId="0" borderId="0" xfId="0" applyFont="1" applyAlignment="1">
      <alignment horizontal="right"/>
    </xf>
    <xf numFmtId="14" fontId="15" fillId="0" borderId="0" xfId="0" applyNumberFormat="1" applyFont="1"/>
    <xf numFmtId="14" fontId="15" fillId="0" borderId="0" xfId="0" applyNumberFormat="1" applyFont="1" applyAlignment="1">
      <alignment horizontal="right"/>
    </xf>
    <xf numFmtId="0" fontId="24" fillId="0" borderId="0" xfId="0" applyFont="1" applyAlignment="1">
      <alignment vertical="center"/>
    </xf>
    <xf numFmtId="0" fontId="52" fillId="0" borderId="0" xfId="0" applyFont="1" applyAlignment="1">
      <alignment wrapText="1"/>
    </xf>
    <xf numFmtId="3" fontId="24" fillId="0" borderId="0" xfId="0" applyNumberFormat="1" applyFont="1" applyAlignment="1">
      <alignment vertical="top" wrapText="1"/>
    </xf>
    <xf numFmtId="3" fontId="12" fillId="0" borderId="0" xfId="0" applyNumberFormat="1" applyFont="1"/>
    <xf numFmtId="0" fontId="24" fillId="0" borderId="1" xfId="0" applyFont="1" applyBorder="1"/>
    <xf numFmtId="3" fontId="41" fillId="0" borderId="0" xfId="0" applyNumberFormat="1" applyFont="1" applyProtection="1">
      <protection locked="0"/>
    </xf>
    <xf numFmtId="9" fontId="41" fillId="0" borderId="0" xfId="10" applyFont="1" applyProtection="1">
      <protection locked="0"/>
    </xf>
    <xf numFmtId="179" fontId="41" fillId="0" borderId="0" xfId="10" applyNumberFormat="1" applyFont="1" applyProtection="1">
      <protection locked="0"/>
    </xf>
    <xf numFmtId="0" fontId="41" fillId="0" borderId="0" xfId="0" applyFont="1" applyProtection="1">
      <protection locked="0"/>
    </xf>
    <xf numFmtId="3" fontId="41" fillId="0" borderId="1" xfId="0" applyNumberFormat="1" applyFont="1" applyBorder="1" applyProtection="1">
      <protection locked="0"/>
    </xf>
    <xf numFmtId="168" fontId="4" fillId="0" borderId="0" xfId="1" applyNumberFormat="1" applyFont="1" applyProtection="1"/>
    <xf numFmtId="10" fontId="4" fillId="0" borderId="0" xfId="10" applyNumberFormat="1" applyFont="1" applyProtection="1"/>
    <xf numFmtId="9" fontId="4" fillId="0" borderId="0" xfId="10" applyFont="1" applyProtection="1"/>
    <xf numFmtId="10" fontId="2" fillId="0" borderId="0" xfId="10" applyNumberFormat="1" applyFont="1"/>
    <xf numFmtId="0" fontId="44" fillId="0" borderId="1" xfId="8" applyFont="1" applyBorder="1" applyAlignment="1"/>
    <xf numFmtId="0" fontId="43" fillId="0" borderId="1" xfId="8" applyFont="1" applyBorder="1" applyAlignment="1">
      <alignment horizontal="right"/>
    </xf>
    <xf numFmtId="0" fontId="23" fillId="0" borderId="0" xfId="0" applyFont="1" applyAlignment="1">
      <alignment horizontal="right"/>
    </xf>
    <xf numFmtId="9" fontId="4" fillId="0" borderId="0" xfId="10" applyFont="1" applyProtection="1">
      <protection locked="0"/>
    </xf>
    <xf numFmtId="3" fontId="2" fillId="0" borderId="0" xfId="0" applyNumberFormat="1" applyFont="1" applyAlignment="1">
      <alignment horizontal="left"/>
    </xf>
    <xf numFmtId="179" fontId="4" fillId="0" borderId="0" xfId="0" applyNumberFormat="1" applyFont="1"/>
    <xf numFmtId="3" fontId="4" fillId="0" borderId="0" xfId="0" applyNumberFormat="1" applyFont="1" applyProtection="1">
      <protection locked="0"/>
    </xf>
    <xf numFmtId="171" fontId="0" fillId="0" borderId="0" xfId="0" applyNumberFormat="1"/>
    <xf numFmtId="179" fontId="0" fillId="0" borderId="0" xfId="0" applyNumberFormat="1"/>
    <xf numFmtId="171" fontId="0" fillId="0" borderId="0" xfId="0" applyNumberFormat="1" applyAlignment="1">
      <alignment vertical="center"/>
    </xf>
    <xf numFmtId="3" fontId="0" fillId="0" borderId="0" xfId="0" applyNumberFormat="1"/>
    <xf numFmtId="168" fontId="0" fillId="0" borderId="0" xfId="0" applyNumberFormat="1"/>
    <xf numFmtId="0" fontId="0" fillId="2" borderId="0" xfId="0" applyFill="1"/>
    <xf numFmtId="3" fontId="0" fillId="2" borderId="0" xfId="0" applyNumberFormat="1" applyFill="1"/>
    <xf numFmtId="168" fontId="0" fillId="2" borderId="0" xfId="0" applyNumberFormat="1" applyFill="1"/>
    <xf numFmtId="0" fontId="23" fillId="2" borderId="0" xfId="0" applyFont="1" applyFill="1"/>
    <xf numFmtId="0" fontId="2" fillId="0" borderId="0" xfId="0" applyFont="1" applyAlignment="1">
      <alignment horizontal="left" vertical="top" wrapText="1"/>
    </xf>
    <xf numFmtId="0" fontId="55" fillId="4" borderId="22" xfId="0" applyFont="1" applyFill="1" applyBorder="1" applyProtection="1">
      <protection locked="0"/>
    </xf>
    <xf numFmtId="0" fontId="33" fillId="0" borderId="0" xfId="0" applyFont="1" applyAlignment="1">
      <alignment horizontal="center" vertical="center"/>
    </xf>
    <xf numFmtId="0" fontId="1" fillId="2" borderId="0" xfId="0" applyFont="1" applyFill="1"/>
    <xf numFmtId="0" fontId="2" fillId="2" borderId="0" xfId="0" quotePrefix="1" applyFont="1" applyFill="1"/>
    <xf numFmtId="0" fontId="2" fillId="0" borderId="8" xfId="0" applyFont="1" applyBorder="1"/>
    <xf numFmtId="0" fontId="44" fillId="0" borderId="0" xfId="0" applyFont="1" applyAlignment="1">
      <alignment horizontal="center"/>
    </xf>
    <xf numFmtId="171" fontId="44" fillId="0" borderId="0" xfId="0" applyNumberFormat="1" applyFont="1" applyAlignment="1">
      <alignment horizontal="center"/>
    </xf>
    <xf numFmtId="0" fontId="44" fillId="0" borderId="0" xfId="1" applyNumberFormat="1" applyFont="1" applyAlignment="1">
      <alignment horizontal="right" vertical="justify"/>
    </xf>
    <xf numFmtId="171" fontId="44" fillId="0" borderId="0" xfId="1" applyNumberFormat="1" applyFont="1" applyAlignment="1">
      <alignment horizontal="right" vertical="justify"/>
    </xf>
    <xf numFmtId="9" fontId="44" fillId="0" borderId="0" xfId="1" applyNumberFormat="1" applyFont="1" applyAlignment="1">
      <alignment horizontal="right" vertical="justify"/>
    </xf>
    <xf numFmtId="9" fontId="44" fillId="0" borderId="0" xfId="0" applyNumberFormat="1" applyFont="1" applyAlignment="1">
      <alignment horizontal="center"/>
    </xf>
    <xf numFmtId="10" fontId="7" fillId="0" borderId="0" xfId="0" applyNumberFormat="1" applyFont="1" applyAlignment="1" applyProtection="1">
      <alignment horizontal="center"/>
      <protection locked="0"/>
    </xf>
    <xf numFmtId="10" fontId="0" fillId="0" borderId="0" xfId="0" applyNumberFormat="1"/>
    <xf numFmtId="10" fontId="4" fillId="0" borderId="0" xfId="0" applyNumberFormat="1" applyFont="1" applyAlignment="1">
      <alignment horizontal="center"/>
    </xf>
    <xf numFmtId="10" fontId="44" fillId="0" borderId="0" xfId="1" applyNumberFormat="1" applyFont="1" applyAlignment="1">
      <alignment horizontal="right" vertical="justify"/>
    </xf>
    <xf numFmtId="10" fontId="4" fillId="0" borderId="0" xfId="1" applyNumberFormat="1" applyFont="1" applyAlignment="1">
      <alignment horizontal="right" vertical="justify"/>
    </xf>
    <xf numFmtId="0" fontId="1" fillId="0" borderId="0" xfId="0" applyFont="1"/>
    <xf numFmtId="171" fontId="7" fillId="0" borderId="0" xfId="3" applyNumberFormat="1" applyFont="1" applyAlignment="1" applyProtection="1">
      <protection locked="0"/>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14" xfId="0" applyFont="1" applyBorder="1" applyAlignment="1">
      <alignment vertical="center"/>
    </xf>
    <xf numFmtId="0" fontId="21" fillId="0" borderId="0" xfId="0" applyFont="1" applyAlignment="1">
      <alignment vertical="center"/>
    </xf>
    <xf numFmtId="0" fontId="21" fillId="0" borderId="13" xfId="0" applyFont="1" applyBorder="1" applyAlignment="1">
      <alignment vertical="center"/>
    </xf>
    <xf numFmtId="0" fontId="21" fillId="0" borderId="11" xfId="0" applyFont="1" applyBorder="1" applyAlignment="1">
      <alignment vertical="center"/>
    </xf>
    <xf numFmtId="0" fontId="21" fillId="0" borderId="6" xfId="0" applyFont="1" applyBorder="1" applyAlignment="1">
      <alignment vertical="center"/>
    </xf>
    <xf numFmtId="0" fontId="21" fillId="0" borderId="12" xfId="0" applyFont="1" applyBorder="1" applyAlignment="1">
      <alignment vertical="center"/>
    </xf>
    <xf numFmtId="0" fontId="4" fillId="0" borderId="5"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vertical="center"/>
    </xf>
    <xf numFmtId="169" fontId="4" fillId="0" borderId="5" xfId="0" applyNumberFormat="1" applyFont="1" applyBorder="1" applyAlignment="1">
      <alignment horizontal="center"/>
    </xf>
    <xf numFmtId="169" fontId="4" fillId="0" borderId="3" xfId="0" applyNumberFormat="1" applyFont="1" applyBorder="1" applyAlignment="1">
      <alignment horizontal="center"/>
    </xf>
    <xf numFmtId="1" fontId="4" fillId="0" borderId="5" xfId="0" applyNumberFormat="1" applyFont="1" applyBorder="1" applyAlignment="1">
      <alignment horizontal="center"/>
    </xf>
    <xf numFmtId="0" fontId="4" fillId="0" borderId="4" xfId="0" applyFont="1" applyBorder="1"/>
    <xf numFmtId="165" fontId="44" fillId="0" borderId="0" xfId="0" applyNumberFormat="1" applyFont="1" applyAlignment="1">
      <alignment horizontal="center"/>
    </xf>
    <xf numFmtId="168" fontId="44" fillId="0" borderId="0" xfId="0" applyNumberFormat="1" applyFont="1" applyAlignment="1">
      <alignment horizontal="center"/>
    </xf>
    <xf numFmtId="0" fontId="42" fillId="0" borderId="0" xfId="0" applyFont="1"/>
    <xf numFmtId="0" fontId="57" fillId="0" borderId="0" xfId="0" applyFont="1" applyAlignment="1">
      <alignment horizontal="center"/>
    </xf>
    <xf numFmtId="168" fontId="28" fillId="0" borderId="0" xfId="9" applyFont="1" applyAlignment="1">
      <alignment horizontal="left" vertical="top" wrapText="1"/>
    </xf>
    <xf numFmtId="168" fontId="26" fillId="0" borderId="0" xfId="9" applyFont="1" applyAlignment="1">
      <alignment horizontal="center"/>
    </xf>
    <xf numFmtId="168" fontId="25" fillId="0" borderId="0" xfId="9" applyFont="1" applyAlignment="1">
      <alignment horizontal="center"/>
    </xf>
    <xf numFmtId="168" fontId="26" fillId="0" borderId="0" xfId="9" applyFont="1" applyAlignment="1">
      <alignment horizontal="center" vertical="center"/>
    </xf>
    <xf numFmtId="168" fontId="12" fillId="0" borderId="0" xfId="9" applyFont="1" applyAlignment="1">
      <alignment horizontal="left" vertical="top" wrapText="1"/>
    </xf>
    <xf numFmtId="168" fontId="23" fillId="0" borderId="0" xfId="9" applyFont="1" applyAlignment="1">
      <alignment horizontal="left" vertical="top" wrapText="1"/>
    </xf>
    <xf numFmtId="0" fontId="46" fillId="5" borderId="0" xfId="0" applyFont="1" applyFill="1" applyAlignment="1">
      <alignment horizontal="center"/>
    </xf>
    <xf numFmtId="0" fontId="23" fillId="0" borderId="0" xfId="0" applyFont="1" applyAlignment="1">
      <alignment horizontal="right" vertical="center"/>
    </xf>
    <xf numFmtId="0" fontId="23" fillId="0" borderId="0" xfId="0" applyFont="1" applyAlignment="1">
      <alignment horizontal="center" vertical="center"/>
    </xf>
    <xf numFmtId="0" fontId="53" fillId="5" borderId="0" xfId="0" applyFont="1" applyFill="1" applyAlignment="1">
      <alignment horizontal="center"/>
    </xf>
    <xf numFmtId="0" fontId="4" fillId="0" borderId="6" xfId="0" applyFont="1" applyBorder="1" applyAlignment="1">
      <alignment horizontal="center"/>
    </xf>
    <xf numFmtId="0" fontId="4" fillId="0" borderId="1" xfId="0" applyFont="1" applyBorder="1" applyAlignment="1">
      <alignment horizontal="center"/>
    </xf>
    <xf numFmtId="0" fontId="53" fillId="5" borderId="0" xfId="0" applyFont="1" applyFill="1" applyAlignment="1">
      <alignment horizontal="center" vertical="center"/>
    </xf>
    <xf numFmtId="0" fontId="2" fillId="0" borderId="0" xfId="0" applyFont="1" applyAlignment="1">
      <alignment horizontal="left" vertical="top" wrapText="1"/>
    </xf>
    <xf numFmtId="179" fontId="4" fillId="0" borderId="0" xfId="0" applyNumberFormat="1" applyFont="1" applyAlignment="1">
      <alignment horizontal="left"/>
    </xf>
    <xf numFmtId="179" fontId="41" fillId="0" borderId="0" xfId="10" applyNumberFormat="1" applyFont="1" applyAlignment="1" applyProtection="1">
      <alignment horizontal="right"/>
      <protection locked="0"/>
    </xf>
    <xf numFmtId="179" fontId="41" fillId="0" borderId="0" xfId="10" applyNumberFormat="1" applyFont="1" applyAlignment="1" applyProtection="1">
      <alignment horizontal="center"/>
      <protection locked="0"/>
    </xf>
    <xf numFmtId="179" fontId="4" fillId="0" borderId="0" xfId="0" applyNumberFormat="1" applyFont="1" applyAlignment="1">
      <alignment horizontal="center"/>
    </xf>
    <xf numFmtId="0" fontId="56" fillId="0" borderId="0" xfId="11" applyAlignment="1">
      <alignment horizontal="center" vertical="center"/>
    </xf>
    <xf numFmtId="0" fontId="5" fillId="0" borderId="17" xfId="0" applyFont="1" applyBorder="1" applyAlignment="1">
      <alignment horizontal="center"/>
    </xf>
    <xf numFmtId="0" fontId="53" fillId="5" borderId="18" xfId="0" applyFont="1" applyFill="1" applyBorder="1" applyAlignment="1">
      <alignment horizontal="center" vertical="center"/>
    </xf>
    <xf numFmtId="0" fontId="53" fillId="5" borderId="7" xfId="0" applyFont="1" applyFill="1" applyBorder="1" applyAlignment="1">
      <alignment horizontal="center" vertical="center"/>
    </xf>
    <xf numFmtId="0" fontId="2" fillId="0" borderId="0" xfId="0" applyFont="1" applyAlignment="1">
      <alignment horizontal="left"/>
    </xf>
    <xf numFmtId="0" fontId="24" fillId="0" borderId="1" xfId="0" applyFont="1" applyBorder="1" applyAlignment="1" applyProtection="1">
      <alignment horizontal="center" wrapText="1"/>
      <protection locked="0"/>
    </xf>
    <xf numFmtId="0" fontId="4" fillId="0" borderId="1" xfId="0" applyFont="1" applyBorder="1" applyAlignment="1" applyProtection="1">
      <alignment horizontal="center"/>
      <protection locked="0"/>
    </xf>
    <xf numFmtId="0" fontId="24" fillId="0" borderId="0" xfId="0" applyFont="1" applyAlignment="1">
      <alignment horizontal="center" wrapText="1"/>
    </xf>
    <xf numFmtId="0" fontId="24" fillId="0" borderId="1" xfId="0" applyFont="1" applyBorder="1" applyAlignment="1">
      <alignment horizontal="center" wrapText="1"/>
    </xf>
    <xf numFmtId="168" fontId="54" fillId="5" borderId="0" xfId="9" applyFont="1" applyFill="1" applyAlignment="1">
      <alignment horizontal="center" vertical="top"/>
    </xf>
    <xf numFmtId="168" fontId="2" fillId="0" borderId="0" xfId="9" applyAlignment="1">
      <alignment horizontal="left" vertical="top" wrapText="1"/>
    </xf>
    <xf numFmtId="168" fontId="2" fillId="0" borderId="0" xfId="9" applyAlignment="1">
      <alignment vertical="top" wrapText="1"/>
    </xf>
    <xf numFmtId="0" fontId="0" fillId="0" borderId="0" xfId="8" applyFont="1" applyAlignment="1">
      <alignment vertical="top" wrapText="1"/>
    </xf>
    <xf numFmtId="0" fontId="2"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0" fillId="0" borderId="0" xfId="0" applyAlignment="1">
      <alignment vertical="top" wrapText="1"/>
    </xf>
    <xf numFmtId="0" fontId="53" fillId="5" borderId="0" xfId="0" applyFont="1" applyFill="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4" fillId="0" borderId="8" xfId="0" applyFont="1" applyBorder="1" applyAlignment="1">
      <alignment horizontal="center" wrapText="1"/>
    </xf>
    <xf numFmtId="0" fontId="44" fillId="0" borderId="9" xfId="0" applyFont="1" applyBorder="1" applyAlignment="1">
      <alignment horizontal="center" wrapText="1"/>
    </xf>
    <xf numFmtId="0" fontId="44" fillId="0" borderId="10" xfId="0" applyFont="1" applyBorder="1" applyAlignment="1">
      <alignment horizontal="center" wrapText="1"/>
    </xf>
    <xf numFmtId="0" fontId="44" fillId="0" borderId="14" xfId="0" applyFont="1" applyBorder="1" applyAlignment="1">
      <alignment horizontal="center" wrapText="1"/>
    </xf>
    <xf numFmtId="0" fontId="44" fillId="0" borderId="0" xfId="0" applyFont="1" applyAlignment="1">
      <alignment horizontal="center" wrapText="1"/>
    </xf>
    <xf numFmtId="0" fontId="44" fillId="0" borderId="13" xfId="0" applyFont="1" applyBorder="1" applyAlignment="1">
      <alignment horizontal="center" wrapText="1"/>
    </xf>
    <xf numFmtId="0" fontId="44" fillId="0" borderId="11" xfId="0" applyFont="1" applyBorder="1" applyAlignment="1">
      <alignment horizontal="center" wrapText="1"/>
    </xf>
    <xf numFmtId="0" fontId="44" fillId="0" borderId="6" xfId="0" applyFont="1" applyBorder="1" applyAlignment="1">
      <alignment horizontal="center" wrapText="1"/>
    </xf>
    <xf numFmtId="0" fontId="44" fillId="0" borderId="12" xfId="0" applyFont="1" applyBorder="1" applyAlignment="1">
      <alignment horizont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3" fontId="24" fillId="0" borderId="0" xfId="0" applyNumberFormat="1" applyFont="1" applyAlignment="1">
      <alignment horizontal="left" vertical="top"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cellXfs>
  <cellStyles count="12">
    <cellStyle name="Currency" xfId="1" builtinId="4"/>
    <cellStyle name="Hyperlink" xfId="11" builtinId="8"/>
    <cellStyle name="Hyperlink 2" xfId="2" xr:uid="{00000000-0005-0000-0000-000002000000}"/>
    <cellStyle name="Normal" xfId="0" builtinId="0"/>
    <cellStyle name="Normal 2" xfId="3" xr:uid="{00000000-0005-0000-0000-000004000000}"/>
    <cellStyle name="Normal 2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_Farrow-Wean 500 2" xfId="9" xr:uid="{00000000-0005-0000-0000-00000A000000}"/>
    <cellStyle name="Perc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(HIDE)'!$B$4</c:f>
          <c:strCache>
            <c:ptCount val="1"/>
            <c:pt idx="0">
              <c:v>Impact of Stocking Rate on Pasture Cost Per Day</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137578454867056"/>
          <c:w val="0.78850474106491597"/>
          <c:h val="0.45476115485564311"/>
        </c:manualLayout>
      </c:layout>
      <c:lineChart>
        <c:grouping val="standard"/>
        <c:varyColors val="0"/>
        <c:ser>
          <c:idx val="1"/>
          <c:order val="0"/>
          <c:tx>
            <c:strRef>
              <c:f>'Chart (HIDE)'!$C$6</c:f>
              <c:strCache>
                <c:ptCount val="1"/>
                <c:pt idx="0">
                  <c:v>Improved Pasture (from 94 hd)</c:v>
                </c:pt>
              </c:strCache>
            </c:strRef>
          </c:tx>
          <c:marker>
            <c:symbol val="none"/>
          </c:marker>
          <c:dPt>
            <c:idx val="3"/>
            <c:marker>
              <c:symbol val="auto"/>
            </c:marker>
            <c:bubble3D val="0"/>
            <c:spPr/>
            <c:extLst>
              <c:ext xmlns:c16="http://schemas.microsoft.com/office/drawing/2014/chart" uri="{C3380CC4-5D6E-409C-BE32-E72D297353CC}">
                <c16:uniqueId val="{00000001-7845-4BC1-A526-FEF5B85EFFEE}"/>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45-4BC1-A526-FEF5B85EFF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(HIDE)'!$B$7:$B$13</c:f>
              <c:numCache>
                <c:formatCode>General</c:formatCode>
                <c:ptCount val="7"/>
                <c:pt idx="0">
                  <c:v>-6</c:v>
                </c:pt>
                <c:pt idx="1">
                  <c:v>-4</c:v>
                </c:pt>
                <c:pt idx="2">
                  <c:v>-2</c:v>
                </c:pt>
                <c:pt idx="3">
                  <c:v>0</c:v>
                </c:pt>
                <c:pt idx="4">
                  <c:v>2</c:v>
                </c:pt>
                <c:pt idx="5">
                  <c:v>4</c:v>
                </c:pt>
                <c:pt idx="6">
                  <c:v>6</c:v>
                </c:pt>
              </c:numCache>
            </c:numRef>
          </c:cat>
          <c:val>
            <c:numRef>
              <c:f>'Chart (HIDE)'!$C$7:$C$13</c:f>
              <c:numCache>
                <c:formatCode>"$"#,##0.00_);[Red]\("$"#,##0.00\)</c:formatCode>
                <c:ptCount val="7"/>
                <c:pt idx="0">
                  <c:v>1.51</c:v>
                </c:pt>
                <c:pt idx="1">
                  <c:v>1.48</c:v>
                </c:pt>
                <c:pt idx="2">
                  <c:v>1.43</c:v>
                </c:pt>
                <c:pt idx="3">
                  <c:v>1.4094100000000003</c:v>
                </c:pt>
                <c:pt idx="4">
                  <c:v>1.38</c:v>
                </c:pt>
                <c:pt idx="5">
                  <c:v>1.36</c:v>
                </c:pt>
                <c:pt idx="6">
                  <c:v>1.32</c:v>
                </c:pt>
              </c:numCache>
            </c:numRef>
          </c:val>
          <c:smooth val="0"/>
          <c:extLst>
            <c:ext xmlns:c16="http://schemas.microsoft.com/office/drawing/2014/chart" uri="{C3380CC4-5D6E-409C-BE32-E72D297353CC}">
              <c16:uniqueId val="{00000002-7845-4BC1-A526-FEF5B85EFFEE}"/>
            </c:ext>
          </c:extLst>
        </c:ser>
        <c:ser>
          <c:idx val="0"/>
          <c:order val="1"/>
          <c:tx>
            <c:strRef>
              <c:f>'Chart (HIDE)'!$D$6</c:f>
              <c:strCache>
                <c:ptCount val="1"/>
                <c:pt idx="0">
                  <c:v>Marginal Pasture (from 32 hd)</c:v>
                </c:pt>
              </c:strCache>
            </c:strRef>
          </c:tx>
          <c:marker>
            <c:symbol val="none"/>
          </c:marker>
          <c:dPt>
            <c:idx val="3"/>
            <c:marker>
              <c:symbol val="auto"/>
            </c:marker>
            <c:bubble3D val="0"/>
            <c:extLst>
              <c:ext xmlns:c16="http://schemas.microsoft.com/office/drawing/2014/chart" uri="{C3380CC4-5D6E-409C-BE32-E72D297353CC}">
                <c16:uniqueId val="{00000003-7845-4BC1-A526-FEF5B85EFFEE}"/>
              </c:ext>
            </c:extLst>
          </c:dPt>
          <c:dLbls>
            <c:dLbl>
              <c:idx val="0"/>
              <c:delete val="1"/>
              <c:extLst>
                <c:ext xmlns:c15="http://schemas.microsoft.com/office/drawing/2012/chart" uri="{CE6537A1-D6FC-4f65-9D91-7224C49458BB}"/>
                <c:ext xmlns:c16="http://schemas.microsoft.com/office/drawing/2014/chart" uri="{C3380CC4-5D6E-409C-BE32-E72D297353CC}">
                  <c16:uniqueId val="{00000004-7845-4BC1-A526-FEF5B85EFFEE}"/>
                </c:ext>
              </c:extLst>
            </c:dLbl>
            <c:dLbl>
              <c:idx val="1"/>
              <c:delete val="1"/>
              <c:extLst>
                <c:ext xmlns:c15="http://schemas.microsoft.com/office/drawing/2012/chart" uri="{CE6537A1-D6FC-4f65-9D91-7224C49458BB}"/>
                <c:ext xmlns:c16="http://schemas.microsoft.com/office/drawing/2014/chart" uri="{C3380CC4-5D6E-409C-BE32-E72D297353CC}">
                  <c16:uniqueId val="{00000005-7845-4BC1-A526-FEF5B85EFFEE}"/>
                </c:ext>
              </c:extLst>
            </c:dLbl>
            <c:dLbl>
              <c:idx val="2"/>
              <c:delete val="1"/>
              <c:extLst>
                <c:ext xmlns:c15="http://schemas.microsoft.com/office/drawing/2012/chart" uri="{CE6537A1-D6FC-4f65-9D91-7224C49458BB}"/>
                <c:ext xmlns:c16="http://schemas.microsoft.com/office/drawing/2014/chart" uri="{C3380CC4-5D6E-409C-BE32-E72D297353CC}">
                  <c16:uniqueId val="{00000006-7845-4BC1-A526-FEF5B85EFFEE}"/>
                </c:ext>
              </c:extLst>
            </c:dLbl>
            <c:dLbl>
              <c:idx val="4"/>
              <c:delete val="1"/>
              <c:extLst>
                <c:ext xmlns:c15="http://schemas.microsoft.com/office/drawing/2012/chart" uri="{CE6537A1-D6FC-4f65-9D91-7224C49458BB}"/>
                <c:ext xmlns:c16="http://schemas.microsoft.com/office/drawing/2014/chart" uri="{C3380CC4-5D6E-409C-BE32-E72D297353CC}">
                  <c16:uniqueId val="{00000007-7845-4BC1-A526-FEF5B85EFFEE}"/>
                </c:ext>
              </c:extLst>
            </c:dLbl>
            <c:dLbl>
              <c:idx val="5"/>
              <c:delete val="1"/>
              <c:extLst>
                <c:ext xmlns:c15="http://schemas.microsoft.com/office/drawing/2012/chart" uri="{CE6537A1-D6FC-4f65-9D91-7224C49458BB}"/>
                <c:ext xmlns:c16="http://schemas.microsoft.com/office/drawing/2014/chart" uri="{C3380CC4-5D6E-409C-BE32-E72D297353CC}">
                  <c16:uniqueId val="{00000008-7845-4BC1-A526-FEF5B85EFFEE}"/>
                </c:ext>
              </c:extLst>
            </c:dLbl>
            <c:dLbl>
              <c:idx val="6"/>
              <c:delete val="1"/>
              <c:extLst>
                <c:ext xmlns:c15="http://schemas.microsoft.com/office/drawing/2012/chart" uri="{CE6537A1-D6FC-4f65-9D91-7224C49458BB}"/>
                <c:ext xmlns:c16="http://schemas.microsoft.com/office/drawing/2014/chart" uri="{C3380CC4-5D6E-409C-BE32-E72D297353CC}">
                  <c16:uniqueId val="{00000009-7845-4BC1-A526-FEF5B85EFFE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(HIDE)'!$D$7:$D$13</c:f>
              <c:numCache>
                <c:formatCode>"$"#,##0.00_);[Red]\("$"#,##0.00\)</c:formatCode>
                <c:ptCount val="7"/>
                <c:pt idx="0">
                  <c:v>1.7</c:v>
                </c:pt>
                <c:pt idx="1">
                  <c:v>1.51</c:v>
                </c:pt>
                <c:pt idx="2">
                  <c:v>1.43</c:v>
                </c:pt>
                <c:pt idx="3">
                  <c:v>1.3553074602314814</c:v>
                </c:pt>
                <c:pt idx="4">
                  <c:v>1.29</c:v>
                </c:pt>
                <c:pt idx="5">
                  <c:v>1.18</c:v>
                </c:pt>
                <c:pt idx="6">
                  <c:v>1.1299999999999999</c:v>
                </c:pt>
              </c:numCache>
            </c:numRef>
          </c:val>
          <c:smooth val="0"/>
          <c:extLst>
            <c:ext xmlns:c16="http://schemas.microsoft.com/office/drawing/2014/chart" uri="{C3380CC4-5D6E-409C-BE32-E72D297353CC}">
              <c16:uniqueId val="{0000000A-7845-4BC1-A526-FEF5B85EFFEE}"/>
            </c:ext>
          </c:extLst>
        </c:ser>
        <c:dLbls>
          <c:showLegendKey val="0"/>
          <c:showVal val="0"/>
          <c:showCatName val="0"/>
          <c:showSerName val="0"/>
          <c:showPercent val="0"/>
          <c:showBubbleSize val="0"/>
        </c:dLbls>
        <c:smooth val="0"/>
        <c:axId val="207576688"/>
        <c:axId val="1"/>
      </c:lineChart>
      <c:catAx>
        <c:axId val="207576688"/>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Pasture Stocking Rate</a:t>
                </a:r>
              </a:p>
            </c:rich>
          </c:tx>
          <c:overlay val="0"/>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70000000000000007"/>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576688"/>
        <c:crosses val="autoZero"/>
        <c:crossBetween val="between"/>
      </c:valAx>
      <c:spPr>
        <a:noFill/>
        <a:ln w="25400">
          <a:noFill/>
        </a:ln>
      </c:spPr>
    </c:plotArea>
    <c:legend>
      <c:legendPos val="b"/>
      <c:layout>
        <c:manualLayout>
          <c:xMode val="edge"/>
          <c:yMode val="edge"/>
          <c:x val="0"/>
          <c:y val="0.82949323642237027"/>
          <c:w val="0.99632241282339706"/>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Indemnity Based on Days on Pasture</a:t>
            </a:r>
          </a:p>
        </c:rich>
      </c:tx>
      <c:overlay val="0"/>
    </c:title>
    <c:autoTitleDeleted val="0"/>
    <c:plotArea>
      <c:layout>
        <c:manualLayout>
          <c:layoutTarget val="inner"/>
          <c:xMode val="edge"/>
          <c:yMode val="edge"/>
          <c:x val="0.1835212775992853"/>
          <c:y val="0.18452991452991452"/>
          <c:w val="0.78547097046273029"/>
          <c:h val="0.5545864459250287"/>
        </c:manualLayout>
      </c:layout>
      <c:lineChart>
        <c:grouping val="standard"/>
        <c:varyColors val="0"/>
        <c:ser>
          <c:idx val="0"/>
          <c:order val="0"/>
          <c:tx>
            <c:strRef>
              <c:f>'Pasture Ins Calc (HIDE)'!$D$90</c:f>
              <c:strCache>
                <c:ptCount val="1"/>
                <c:pt idx="0">
                  <c:v>Pasture Insurance Indemnity</c:v>
                </c:pt>
              </c:strCache>
            </c:strRef>
          </c:tx>
          <c:spPr>
            <a:ln w="28575" cap="rnd">
              <a:solidFill>
                <a:schemeClr val="tx1"/>
              </a:solidFill>
              <a:round/>
            </a:ln>
            <a:effectLst/>
          </c:spPr>
          <c:marker>
            <c:symbol val="none"/>
          </c:marker>
          <c:cat>
            <c:numRef>
              <c:f>'Pasture Ins Calc (HIDE)'!$G$91:$G$172</c:f>
              <c:numCache>
                <c:formatCode>General</c:formatCode>
                <c:ptCount val="8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numCache>
            </c:numRef>
          </c:cat>
          <c:val>
            <c:numRef>
              <c:f>'Pasture Ins Calc (HIDE)'!$H$91:$H$172</c:f>
              <c:numCache>
                <c:formatCode>"$"#,##0</c:formatCode>
                <c:ptCount val="82"/>
                <c:pt idx="0">
                  <c:v>0</c:v>
                </c:pt>
                <c:pt idx="1">
                  <c:v>228</c:v>
                </c:pt>
                <c:pt idx="2">
                  <c:v>608</c:v>
                </c:pt>
                <c:pt idx="3">
                  <c:v>988</c:v>
                </c:pt>
                <c:pt idx="4">
                  <c:v>1368</c:v>
                </c:pt>
                <c:pt idx="5">
                  <c:v>1748</c:v>
                </c:pt>
                <c:pt idx="6">
                  <c:v>2128</c:v>
                </c:pt>
                <c:pt idx="7">
                  <c:v>2508</c:v>
                </c:pt>
                <c:pt idx="8">
                  <c:v>2888</c:v>
                </c:pt>
                <c:pt idx="9">
                  <c:v>3268</c:v>
                </c:pt>
                <c:pt idx="10">
                  <c:v>3648</c:v>
                </c:pt>
                <c:pt idx="11">
                  <c:v>4028</c:v>
                </c:pt>
                <c:pt idx="12">
                  <c:v>4408</c:v>
                </c:pt>
                <c:pt idx="13">
                  <c:v>4788</c:v>
                </c:pt>
                <c:pt idx="14">
                  <c:v>5168</c:v>
                </c:pt>
                <c:pt idx="15">
                  <c:v>5548</c:v>
                </c:pt>
                <c:pt idx="16">
                  <c:v>5928</c:v>
                </c:pt>
                <c:pt idx="17">
                  <c:v>6308</c:v>
                </c:pt>
                <c:pt idx="18">
                  <c:v>6688</c:v>
                </c:pt>
                <c:pt idx="19">
                  <c:v>7068</c:v>
                </c:pt>
                <c:pt idx="20">
                  <c:v>7448</c:v>
                </c:pt>
                <c:pt idx="21">
                  <c:v>7828</c:v>
                </c:pt>
                <c:pt idx="22">
                  <c:v>8208</c:v>
                </c:pt>
                <c:pt idx="23">
                  <c:v>8588</c:v>
                </c:pt>
                <c:pt idx="24">
                  <c:v>8968</c:v>
                </c:pt>
                <c:pt idx="25">
                  <c:v>9348</c:v>
                </c:pt>
                <c:pt idx="26">
                  <c:v>9728</c:v>
                </c:pt>
                <c:pt idx="27">
                  <c:v>10108</c:v>
                </c:pt>
                <c:pt idx="28">
                  <c:v>10488</c:v>
                </c:pt>
                <c:pt idx="29">
                  <c:v>10868</c:v>
                </c:pt>
                <c:pt idx="30">
                  <c:v>11248</c:v>
                </c:pt>
                <c:pt idx="31">
                  <c:v>11628</c:v>
                </c:pt>
                <c:pt idx="32">
                  <c:v>12008</c:v>
                </c:pt>
                <c:pt idx="33">
                  <c:v>12388</c:v>
                </c:pt>
                <c:pt idx="34">
                  <c:v>12768</c:v>
                </c:pt>
                <c:pt idx="35">
                  <c:v>13148</c:v>
                </c:pt>
                <c:pt idx="36">
                  <c:v>13528</c:v>
                </c:pt>
                <c:pt idx="37">
                  <c:v>13908</c:v>
                </c:pt>
                <c:pt idx="38">
                  <c:v>14288</c:v>
                </c:pt>
                <c:pt idx="39">
                  <c:v>14668</c:v>
                </c:pt>
                <c:pt idx="40">
                  <c:v>15048</c:v>
                </c:pt>
                <c:pt idx="41">
                  <c:v>15428</c:v>
                </c:pt>
                <c:pt idx="42">
                  <c:v>15808</c:v>
                </c:pt>
                <c:pt idx="43">
                  <c:v>16188</c:v>
                </c:pt>
                <c:pt idx="44">
                  <c:v>16568</c:v>
                </c:pt>
                <c:pt idx="45">
                  <c:v>16948</c:v>
                </c:pt>
                <c:pt idx="46">
                  <c:v>17328</c:v>
                </c:pt>
                <c:pt idx="47">
                  <c:v>17708</c:v>
                </c:pt>
                <c:pt idx="48">
                  <c:v>18088</c:v>
                </c:pt>
                <c:pt idx="49">
                  <c:v>18468</c:v>
                </c:pt>
                <c:pt idx="50">
                  <c:v>18848</c:v>
                </c:pt>
                <c:pt idx="51">
                  <c:v>19228</c:v>
                </c:pt>
                <c:pt idx="52">
                  <c:v>19608</c:v>
                </c:pt>
                <c:pt idx="53">
                  <c:v>19988</c:v>
                </c:pt>
                <c:pt idx="54">
                  <c:v>20368</c:v>
                </c:pt>
                <c:pt idx="55">
                  <c:v>20748</c:v>
                </c:pt>
                <c:pt idx="56">
                  <c:v>21128</c:v>
                </c:pt>
                <c:pt idx="57">
                  <c:v>21508</c:v>
                </c:pt>
                <c:pt idx="58">
                  <c:v>21888</c:v>
                </c:pt>
                <c:pt idx="59">
                  <c:v>22268</c:v>
                </c:pt>
                <c:pt idx="60">
                  <c:v>22648</c:v>
                </c:pt>
                <c:pt idx="61">
                  <c:v>23028</c:v>
                </c:pt>
                <c:pt idx="62">
                  <c:v>23408</c:v>
                </c:pt>
                <c:pt idx="63">
                  <c:v>23788</c:v>
                </c:pt>
                <c:pt idx="64">
                  <c:v>24168</c:v>
                </c:pt>
                <c:pt idx="65">
                  <c:v>24548</c:v>
                </c:pt>
                <c:pt idx="66">
                  <c:v>24928</c:v>
                </c:pt>
                <c:pt idx="67">
                  <c:v>25308</c:v>
                </c:pt>
                <c:pt idx="68">
                  <c:v>25688</c:v>
                </c:pt>
                <c:pt idx="69">
                  <c:v>26068</c:v>
                </c:pt>
                <c:pt idx="70">
                  <c:v>26448</c:v>
                </c:pt>
                <c:pt idx="71">
                  <c:v>26828</c:v>
                </c:pt>
                <c:pt idx="72">
                  <c:v>27208</c:v>
                </c:pt>
                <c:pt idx="73">
                  <c:v>27588</c:v>
                </c:pt>
                <c:pt idx="74">
                  <c:v>27968</c:v>
                </c:pt>
                <c:pt idx="75">
                  <c:v>28348</c:v>
                </c:pt>
                <c:pt idx="76">
                  <c:v>28728</c:v>
                </c:pt>
                <c:pt idx="77">
                  <c:v>29108</c:v>
                </c:pt>
                <c:pt idx="78">
                  <c:v>29488</c:v>
                </c:pt>
                <c:pt idx="79">
                  <c:v>29868</c:v>
                </c:pt>
                <c:pt idx="80">
                  <c:v>30248</c:v>
                </c:pt>
                <c:pt idx="81">
                  <c:v>30628</c:v>
                </c:pt>
              </c:numCache>
            </c:numRef>
          </c:val>
          <c:smooth val="0"/>
          <c:extLst>
            <c:ext xmlns:c16="http://schemas.microsoft.com/office/drawing/2014/chart" uri="{C3380CC4-5D6E-409C-BE32-E72D297353CC}">
              <c16:uniqueId val="{00000000-355A-47B4-9507-9D80C535FC83}"/>
            </c:ext>
          </c:extLst>
        </c:ser>
        <c:ser>
          <c:idx val="1"/>
          <c:order val="1"/>
          <c:tx>
            <c:strRef>
              <c:f>'Pasture Ins Calc (HIDE)'!$F$90</c:f>
              <c:strCache>
                <c:ptCount val="1"/>
                <c:pt idx="0">
                  <c:v>Breakeven</c:v>
                </c:pt>
              </c:strCache>
            </c:strRef>
          </c:tx>
          <c:spPr>
            <a:ln w="28575" cap="rnd">
              <a:solidFill>
                <a:schemeClr val="tx1"/>
              </a:solidFill>
              <a:prstDash val="dash"/>
              <a:round/>
            </a:ln>
            <a:effectLst/>
          </c:spPr>
          <c:marker>
            <c:symbol val="none"/>
          </c:marker>
          <c:cat>
            <c:numRef>
              <c:f>'Pasture Ins Calc (HIDE)'!$G$91:$G$172</c:f>
              <c:numCache>
                <c:formatCode>General</c:formatCode>
                <c:ptCount val="8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numCache>
            </c:numRef>
          </c:cat>
          <c:val>
            <c:numRef>
              <c:f>'Pasture Ins Calc (HIDE)'!$F$91:$F$172</c:f>
              <c:numCache>
                <c:formatCode>"$"#,##0</c:formatCode>
                <c:ptCount val="82"/>
                <c:pt idx="0">
                  <c:v>751.57920000000013</c:v>
                </c:pt>
                <c:pt idx="1">
                  <c:v>751.57920000000013</c:v>
                </c:pt>
                <c:pt idx="2">
                  <c:v>751.57920000000013</c:v>
                </c:pt>
                <c:pt idx="3">
                  <c:v>751.57920000000013</c:v>
                </c:pt>
                <c:pt idx="4">
                  <c:v>751.57920000000013</c:v>
                </c:pt>
                <c:pt idx="5">
                  <c:v>751.57920000000013</c:v>
                </c:pt>
                <c:pt idx="6">
                  <c:v>751.57920000000013</c:v>
                </c:pt>
                <c:pt idx="7">
                  <c:v>751.57920000000013</c:v>
                </c:pt>
                <c:pt idx="8">
                  <c:v>751.57920000000013</c:v>
                </c:pt>
                <c:pt idx="9">
                  <c:v>751.57920000000013</c:v>
                </c:pt>
                <c:pt idx="10">
                  <c:v>751.57920000000013</c:v>
                </c:pt>
                <c:pt idx="11">
                  <c:v>751.57920000000013</c:v>
                </c:pt>
                <c:pt idx="12">
                  <c:v>751.57920000000013</c:v>
                </c:pt>
                <c:pt idx="13">
                  <c:v>751.57920000000013</c:v>
                </c:pt>
                <c:pt idx="14">
                  <c:v>751.57920000000013</c:v>
                </c:pt>
                <c:pt idx="15">
                  <c:v>751.57920000000013</c:v>
                </c:pt>
                <c:pt idx="16">
                  <c:v>751.57920000000013</c:v>
                </c:pt>
                <c:pt idx="17">
                  <c:v>751.57920000000013</c:v>
                </c:pt>
                <c:pt idx="18">
                  <c:v>751.57920000000013</c:v>
                </c:pt>
                <c:pt idx="19">
                  <c:v>751.57920000000013</c:v>
                </c:pt>
                <c:pt idx="20">
                  <c:v>751.57920000000013</c:v>
                </c:pt>
                <c:pt idx="21">
                  <c:v>751.57920000000013</c:v>
                </c:pt>
                <c:pt idx="22">
                  <c:v>751.57920000000013</c:v>
                </c:pt>
                <c:pt idx="23">
                  <c:v>751.57920000000013</c:v>
                </c:pt>
                <c:pt idx="24">
                  <c:v>751.57920000000013</c:v>
                </c:pt>
                <c:pt idx="25">
                  <c:v>751.57920000000013</c:v>
                </c:pt>
                <c:pt idx="26">
                  <c:v>751.57920000000013</c:v>
                </c:pt>
                <c:pt idx="27">
                  <c:v>751.57920000000013</c:v>
                </c:pt>
                <c:pt idx="28">
                  <c:v>751.57920000000013</c:v>
                </c:pt>
                <c:pt idx="29">
                  <c:v>751.57920000000013</c:v>
                </c:pt>
                <c:pt idx="30">
                  <c:v>751.57920000000013</c:v>
                </c:pt>
                <c:pt idx="31">
                  <c:v>751.57920000000013</c:v>
                </c:pt>
                <c:pt idx="32">
                  <c:v>751.57920000000013</c:v>
                </c:pt>
                <c:pt idx="33">
                  <c:v>751.57920000000013</c:v>
                </c:pt>
                <c:pt idx="34">
                  <c:v>751.57920000000013</c:v>
                </c:pt>
                <c:pt idx="35">
                  <c:v>751.57920000000013</c:v>
                </c:pt>
                <c:pt idx="36">
                  <c:v>751.57920000000013</c:v>
                </c:pt>
                <c:pt idx="37">
                  <c:v>751.57920000000013</c:v>
                </c:pt>
                <c:pt idx="38">
                  <c:v>751.57920000000013</c:v>
                </c:pt>
                <c:pt idx="39">
                  <c:v>751.57920000000013</c:v>
                </c:pt>
                <c:pt idx="40">
                  <c:v>751.57920000000013</c:v>
                </c:pt>
                <c:pt idx="41">
                  <c:v>751.57920000000013</c:v>
                </c:pt>
                <c:pt idx="42">
                  <c:v>751.57920000000013</c:v>
                </c:pt>
                <c:pt idx="43">
                  <c:v>751.57920000000013</c:v>
                </c:pt>
                <c:pt idx="44">
                  <c:v>751.57920000000013</c:v>
                </c:pt>
                <c:pt idx="45">
                  <c:v>751.57920000000013</c:v>
                </c:pt>
                <c:pt idx="46">
                  <c:v>751.57920000000013</c:v>
                </c:pt>
                <c:pt idx="47">
                  <c:v>751.57920000000013</c:v>
                </c:pt>
                <c:pt idx="48">
                  <c:v>751.57920000000013</c:v>
                </c:pt>
                <c:pt idx="49">
                  <c:v>751.57920000000013</c:v>
                </c:pt>
                <c:pt idx="50">
                  <c:v>751.57920000000013</c:v>
                </c:pt>
                <c:pt idx="51">
                  <c:v>751.57920000000013</c:v>
                </c:pt>
                <c:pt idx="52">
                  <c:v>751.57920000000013</c:v>
                </c:pt>
                <c:pt idx="53">
                  <c:v>751.57920000000013</c:v>
                </c:pt>
                <c:pt idx="54">
                  <c:v>751.57920000000013</c:v>
                </c:pt>
                <c:pt idx="55">
                  <c:v>751.57920000000013</c:v>
                </c:pt>
                <c:pt idx="56">
                  <c:v>751.57920000000013</c:v>
                </c:pt>
                <c:pt idx="57">
                  <c:v>751.57920000000013</c:v>
                </c:pt>
                <c:pt idx="58">
                  <c:v>751.57920000000013</c:v>
                </c:pt>
                <c:pt idx="59">
                  <c:v>751.57920000000013</c:v>
                </c:pt>
                <c:pt idx="60">
                  <c:v>751.57920000000013</c:v>
                </c:pt>
                <c:pt idx="61">
                  <c:v>751.57920000000013</c:v>
                </c:pt>
                <c:pt idx="62">
                  <c:v>751.57920000000013</c:v>
                </c:pt>
                <c:pt idx="63">
                  <c:v>751.57920000000013</c:v>
                </c:pt>
                <c:pt idx="64">
                  <c:v>751.57920000000013</c:v>
                </c:pt>
                <c:pt idx="65">
                  <c:v>751.57920000000013</c:v>
                </c:pt>
                <c:pt idx="66">
                  <c:v>751.57920000000013</c:v>
                </c:pt>
                <c:pt idx="67">
                  <c:v>751.57920000000013</c:v>
                </c:pt>
                <c:pt idx="68">
                  <c:v>751.57920000000013</c:v>
                </c:pt>
                <c:pt idx="69">
                  <c:v>751.57920000000013</c:v>
                </c:pt>
                <c:pt idx="70">
                  <c:v>751.57920000000013</c:v>
                </c:pt>
                <c:pt idx="71">
                  <c:v>751.57920000000013</c:v>
                </c:pt>
                <c:pt idx="72">
                  <c:v>751.57920000000013</c:v>
                </c:pt>
                <c:pt idx="73">
                  <c:v>751.57920000000013</c:v>
                </c:pt>
                <c:pt idx="74">
                  <c:v>751.57920000000013</c:v>
                </c:pt>
                <c:pt idx="75">
                  <c:v>751.57920000000013</c:v>
                </c:pt>
                <c:pt idx="76">
                  <c:v>751.57920000000013</c:v>
                </c:pt>
                <c:pt idx="77">
                  <c:v>751.57920000000013</c:v>
                </c:pt>
                <c:pt idx="78">
                  <c:v>751.57920000000013</c:v>
                </c:pt>
                <c:pt idx="79">
                  <c:v>751.57920000000013</c:v>
                </c:pt>
                <c:pt idx="80">
                  <c:v>751.57920000000013</c:v>
                </c:pt>
                <c:pt idx="81">
                  <c:v>751.57920000000013</c:v>
                </c:pt>
              </c:numCache>
            </c:numRef>
          </c:val>
          <c:smooth val="0"/>
          <c:extLst>
            <c:ext xmlns:c16="http://schemas.microsoft.com/office/drawing/2014/chart" uri="{C3380CC4-5D6E-409C-BE32-E72D297353CC}">
              <c16:uniqueId val="{00000001-355A-47B4-9507-9D80C535FC83}"/>
            </c:ext>
          </c:extLst>
        </c:ser>
        <c:dLbls>
          <c:showLegendKey val="0"/>
          <c:showVal val="0"/>
          <c:showCatName val="0"/>
          <c:showSerName val="0"/>
          <c:showPercent val="0"/>
          <c:showBubbleSize val="0"/>
        </c:dLbls>
        <c:smooth val="0"/>
        <c:axId val="207576360"/>
        <c:axId val="1"/>
      </c:lineChart>
      <c:catAx>
        <c:axId val="207576360"/>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CA" sz="1200" b="1"/>
                  <a:t>Days on Pasture</a:t>
                </a:r>
              </a:p>
            </c:rich>
          </c:tx>
          <c:overlay val="0"/>
          <c:spPr>
            <a:noFill/>
            <a:ln>
              <a:noFill/>
            </a:ln>
            <a:effectLst/>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tickMarkSkip val="2"/>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out"/>
        <c:minorTickMark val="out"/>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7576360"/>
        <c:crosses val="autoZero"/>
        <c:crossBetween val="between"/>
      </c:valAx>
      <c:spPr>
        <a:noFill/>
        <a:ln w="12700">
          <a:solidFill>
            <a:schemeClr val="tx1"/>
          </a:solidFill>
        </a:ln>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(HIDE)'!$B$22</c:f>
          <c:strCache>
            <c:ptCount val="1"/>
            <c:pt idx="0">
              <c:v>Impact of Grazing Days on Pasture Cost Per Day</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18627659574468086"/>
          <c:w val="0.75057622384357914"/>
          <c:h val="0.46986038979170158"/>
        </c:manualLayout>
      </c:layout>
      <c:lineChart>
        <c:grouping val="standard"/>
        <c:varyColors val="0"/>
        <c:ser>
          <c:idx val="1"/>
          <c:order val="0"/>
          <c:tx>
            <c:strRef>
              <c:f>'Chart (HIDE)'!$C$24</c:f>
              <c:strCache>
                <c:ptCount val="1"/>
                <c:pt idx="0">
                  <c:v>Improved Pasture (from 135 days)</c:v>
                </c:pt>
              </c:strCache>
            </c:strRef>
          </c:tx>
          <c:marker>
            <c:symbol val="none"/>
          </c:marker>
          <c:dPt>
            <c:idx val="3"/>
            <c:marker>
              <c:symbol val="auto"/>
            </c:marker>
            <c:bubble3D val="0"/>
            <c:spPr/>
            <c:extLst>
              <c:ext xmlns:c16="http://schemas.microsoft.com/office/drawing/2014/chart" uri="{C3380CC4-5D6E-409C-BE32-E72D297353CC}">
                <c16:uniqueId val="{00000001-6A4A-426E-91D5-761588A87107}"/>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4A-426E-91D5-761588A871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(HIDE)'!$B$25:$B$31</c:f>
              <c:numCache>
                <c:formatCode>General</c:formatCode>
                <c:ptCount val="7"/>
                <c:pt idx="0">
                  <c:v>-15</c:v>
                </c:pt>
                <c:pt idx="1">
                  <c:v>-10</c:v>
                </c:pt>
                <c:pt idx="2">
                  <c:v>-5</c:v>
                </c:pt>
                <c:pt idx="3">
                  <c:v>0</c:v>
                </c:pt>
                <c:pt idx="4">
                  <c:v>5</c:v>
                </c:pt>
                <c:pt idx="5">
                  <c:v>10</c:v>
                </c:pt>
                <c:pt idx="6">
                  <c:v>15</c:v>
                </c:pt>
              </c:numCache>
            </c:numRef>
          </c:cat>
          <c:val>
            <c:numRef>
              <c:f>'Chart (HIDE)'!$C$25:$C$31</c:f>
              <c:numCache>
                <c:formatCode>"$"#,##0.00_);[Red]\("$"#,##0.00\)</c:formatCode>
                <c:ptCount val="7"/>
                <c:pt idx="0">
                  <c:v>1.58</c:v>
                </c:pt>
                <c:pt idx="1">
                  <c:v>1.52</c:v>
                </c:pt>
                <c:pt idx="2">
                  <c:v>1.46</c:v>
                </c:pt>
                <c:pt idx="3">
                  <c:v>1.4094100000000003</c:v>
                </c:pt>
                <c:pt idx="4">
                  <c:v>1.35</c:v>
                </c:pt>
                <c:pt idx="5">
                  <c:v>1.31</c:v>
                </c:pt>
                <c:pt idx="6">
                  <c:v>1.26</c:v>
                </c:pt>
              </c:numCache>
            </c:numRef>
          </c:val>
          <c:smooth val="0"/>
          <c:extLst>
            <c:ext xmlns:c16="http://schemas.microsoft.com/office/drawing/2014/chart" uri="{C3380CC4-5D6E-409C-BE32-E72D297353CC}">
              <c16:uniqueId val="{00000002-6A4A-426E-91D5-761588A87107}"/>
            </c:ext>
          </c:extLst>
        </c:ser>
        <c:ser>
          <c:idx val="0"/>
          <c:order val="1"/>
          <c:tx>
            <c:strRef>
              <c:f>'Chart (HIDE)'!$D$24</c:f>
              <c:strCache>
                <c:ptCount val="1"/>
                <c:pt idx="0">
                  <c:v>Marginal Pasture (from 135 days)</c:v>
                </c:pt>
              </c:strCache>
            </c:strRef>
          </c:tx>
          <c:dPt>
            <c:idx val="0"/>
            <c:marker>
              <c:symbol val="none"/>
            </c:marker>
            <c:bubble3D val="0"/>
            <c:extLst>
              <c:ext xmlns:c16="http://schemas.microsoft.com/office/drawing/2014/chart" uri="{C3380CC4-5D6E-409C-BE32-E72D297353CC}">
                <c16:uniqueId val="{00000004-6A4A-426E-91D5-761588A87107}"/>
              </c:ext>
            </c:extLst>
          </c:dPt>
          <c:dPt>
            <c:idx val="1"/>
            <c:marker>
              <c:symbol val="none"/>
            </c:marker>
            <c:bubble3D val="0"/>
            <c:extLst>
              <c:ext xmlns:c16="http://schemas.microsoft.com/office/drawing/2014/chart" uri="{C3380CC4-5D6E-409C-BE32-E72D297353CC}">
                <c16:uniqueId val="{00000006-6A4A-426E-91D5-761588A87107}"/>
              </c:ext>
            </c:extLst>
          </c:dPt>
          <c:dPt>
            <c:idx val="2"/>
            <c:marker>
              <c:symbol val="none"/>
            </c:marker>
            <c:bubble3D val="0"/>
            <c:extLst>
              <c:ext xmlns:c16="http://schemas.microsoft.com/office/drawing/2014/chart" uri="{C3380CC4-5D6E-409C-BE32-E72D297353CC}">
                <c16:uniqueId val="{00000008-6A4A-426E-91D5-761588A87107}"/>
              </c:ext>
            </c:extLst>
          </c:dPt>
          <c:dPt>
            <c:idx val="4"/>
            <c:marker>
              <c:symbol val="none"/>
            </c:marker>
            <c:bubble3D val="0"/>
            <c:extLst>
              <c:ext xmlns:c16="http://schemas.microsoft.com/office/drawing/2014/chart" uri="{C3380CC4-5D6E-409C-BE32-E72D297353CC}">
                <c16:uniqueId val="{0000000A-6A4A-426E-91D5-761588A87107}"/>
              </c:ext>
            </c:extLst>
          </c:dPt>
          <c:dPt>
            <c:idx val="5"/>
            <c:marker>
              <c:symbol val="none"/>
            </c:marker>
            <c:bubble3D val="0"/>
            <c:extLst>
              <c:ext xmlns:c16="http://schemas.microsoft.com/office/drawing/2014/chart" uri="{C3380CC4-5D6E-409C-BE32-E72D297353CC}">
                <c16:uniqueId val="{0000000C-6A4A-426E-91D5-761588A87107}"/>
              </c:ext>
            </c:extLst>
          </c:dPt>
          <c:dPt>
            <c:idx val="6"/>
            <c:marker>
              <c:symbol val="none"/>
            </c:marker>
            <c:bubble3D val="0"/>
            <c:extLst>
              <c:ext xmlns:c16="http://schemas.microsoft.com/office/drawing/2014/chart" uri="{C3380CC4-5D6E-409C-BE32-E72D297353CC}">
                <c16:uniqueId val="{0000000E-6A4A-426E-91D5-761588A87107}"/>
              </c:ext>
            </c:extLst>
          </c:dPt>
          <c:dLbls>
            <c:dLbl>
              <c:idx val="0"/>
              <c:delete val="1"/>
              <c:extLst>
                <c:ext xmlns:c15="http://schemas.microsoft.com/office/drawing/2012/chart" uri="{CE6537A1-D6FC-4f65-9D91-7224C49458BB}"/>
                <c:ext xmlns:c16="http://schemas.microsoft.com/office/drawing/2014/chart" uri="{C3380CC4-5D6E-409C-BE32-E72D297353CC}">
                  <c16:uniqueId val="{00000004-6A4A-426E-91D5-761588A87107}"/>
                </c:ext>
              </c:extLst>
            </c:dLbl>
            <c:dLbl>
              <c:idx val="1"/>
              <c:delete val="1"/>
              <c:extLst>
                <c:ext xmlns:c15="http://schemas.microsoft.com/office/drawing/2012/chart" uri="{CE6537A1-D6FC-4f65-9D91-7224C49458BB}"/>
                <c:ext xmlns:c16="http://schemas.microsoft.com/office/drawing/2014/chart" uri="{C3380CC4-5D6E-409C-BE32-E72D297353CC}">
                  <c16:uniqueId val="{00000006-6A4A-426E-91D5-761588A87107}"/>
                </c:ext>
              </c:extLst>
            </c:dLbl>
            <c:dLbl>
              <c:idx val="2"/>
              <c:delete val="1"/>
              <c:extLst>
                <c:ext xmlns:c15="http://schemas.microsoft.com/office/drawing/2012/chart" uri="{CE6537A1-D6FC-4f65-9D91-7224C49458BB}"/>
                <c:ext xmlns:c16="http://schemas.microsoft.com/office/drawing/2014/chart" uri="{C3380CC4-5D6E-409C-BE32-E72D297353CC}">
                  <c16:uniqueId val="{00000008-6A4A-426E-91D5-761588A87107}"/>
                </c:ext>
              </c:extLst>
            </c:dLbl>
            <c:dLbl>
              <c:idx val="4"/>
              <c:delete val="1"/>
              <c:extLst>
                <c:ext xmlns:c15="http://schemas.microsoft.com/office/drawing/2012/chart" uri="{CE6537A1-D6FC-4f65-9D91-7224C49458BB}"/>
                <c:ext xmlns:c16="http://schemas.microsoft.com/office/drawing/2014/chart" uri="{C3380CC4-5D6E-409C-BE32-E72D297353CC}">
                  <c16:uniqueId val="{0000000A-6A4A-426E-91D5-761588A87107}"/>
                </c:ext>
              </c:extLst>
            </c:dLbl>
            <c:dLbl>
              <c:idx val="5"/>
              <c:delete val="1"/>
              <c:extLst>
                <c:ext xmlns:c15="http://schemas.microsoft.com/office/drawing/2012/chart" uri="{CE6537A1-D6FC-4f65-9D91-7224C49458BB}"/>
                <c:ext xmlns:c16="http://schemas.microsoft.com/office/drawing/2014/chart" uri="{C3380CC4-5D6E-409C-BE32-E72D297353CC}">
                  <c16:uniqueId val="{0000000C-6A4A-426E-91D5-761588A87107}"/>
                </c:ext>
              </c:extLst>
            </c:dLbl>
            <c:dLbl>
              <c:idx val="6"/>
              <c:delete val="1"/>
              <c:extLst>
                <c:ext xmlns:c15="http://schemas.microsoft.com/office/drawing/2012/chart" uri="{CE6537A1-D6FC-4f65-9D91-7224C49458BB}"/>
                <c:ext xmlns:c16="http://schemas.microsoft.com/office/drawing/2014/chart" uri="{C3380CC4-5D6E-409C-BE32-E72D297353CC}">
                  <c16:uniqueId val="{0000000E-6A4A-426E-91D5-761588A8710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(HIDE)'!$B$25:$B$31</c:f>
              <c:numCache>
                <c:formatCode>General</c:formatCode>
                <c:ptCount val="7"/>
                <c:pt idx="0">
                  <c:v>-15</c:v>
                </c:pt>
                <c:pt idx="1">
                  <c:v>-10</c:v>
                </c:pt>
                <c:pt idx="2">
                  <c:v>-5</c:v>
                </c:pt>
                <c:pt idx="3">
                  <c:v>0</c:v>
                </c:pt>
                <c:pt idx="4">
                  <c:v>5</c:v>
                </c:pt>
                <c:pt idx="5">
                  <c:v>10</c:v>
                </c:pt>
                <c:pt idx="6">
                  <c:v>15</c:v>
                </c:pt>
              </c:numCache>
            </c:numRef>
          </c:cat>
          <c:val>
            <c:numRef>
              <c:f>'Chart (HIDE)'!$D$25:$D$31</c:f>
              <c:numCache>
                <c:formatCode>"$"#,##0.00_);[Red]\("$"#,##0.00\)</c:formatCode>
                <c:ptCount val="7"/>
                <c:pt idx="0">
                  <c:v>1.53</c:v>
                </c:pt>
                <c:pt idx="1">
                  <c:v>1.46</c:v>
                </c:pt>
                <c:pt idx="2">
                  <c:v>1.41</c:v>
                </c:pt>
                <c:pt idx="3">
                  <c:v>1.3553074602314814</c:v>
                </c:pt>
                <c:pt idx="4">
                  <c:v>1.31</c:v>
                </c:pt>
                <c:pt idx="5">
                  <c:v>1.26</c:v>
                </c:pt>
                <c:pt idx="6">
                  <c:v>1.22</c:v>
                </c:pt>
              </c:numCache>
            </c:numRef>
          </c:val>
          <c:smooth val="0"/>
          <c:extLst>
            <c:ext xmlns:c16="http://schemas.microsoft.com/office/drawing/2014/chart" uri="{C3380CC4-5D6E-409C-BE32-E72D297353CC}">
              <c16:uniqueId val="{0000000F-6A4A-426E-91D5-761588A87107}"/>
            </c:ext>
          </c:extLst>
        </c:ser>
        <c:dLbls>
          <c:showLegendKey val="0"/>
          <c:showVal val="0"/>
          <c:showCatName val="0"/>
          <c:showSerName val="0"/>
          <c:showPercent val="0"/>
          <c:showBubbleSize val="0"/>
        </c:dLbls>
        <c:smooth val="0"/>
        <c:axId val="206360624"/>
        <c:axId val="1"/>
      </c:lineChart>
      <c:catAx>
        <c:axId val="206360624"/>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CA" sz="1200" b="1" i="0" u="none" strike="noStrike" baseline="0">
                    <a:solidFill>
                      <a:srgbClr val="000000"/>
                    </a:solidFill>
                    <a:latin typeface="Calibri"/>
                    <a:cs typeface="Calibri"/>
                  </a:rPr>
                  <a:t>Change in Number of </a:t>
                </a:r>
              </a:p>
              <a:p>
                <a:pPr>
                  <a:defRPr sz="1100" b="0" i="0" u="none" strike="noStrike" baseline="0">
                    <a:solidFill>
                      <a:srgbClr val="000000"/>
                    </a:solidFill>
                    <a:latin typeface="Calibri"/>
                    <a:ea typeface="Calibri"/>
                    <a:cs typeface="Calibri"/>
                  </a:defRPr>
                </a:pPr>
                <a:r>
                  <a:rPr lang="en-CA" sz="1200" b="1" i="0" u="none" strike="noStrike" baseline="0">
                    <a:solidFill>
                      <a:srgbClr val="000000"/>
                    </a:solidFill>
                    <a:latin typeface="Calibri"/>
                    <a:cs typeface="Calibri"/>
                  </a:rPr>
                  <a:t>Grazing Days</a:t>
                </a:r>
              </a:p>
            </c:rich>
          </c:tx>
          <c:overlay val="0"/>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75000000000000011"/>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6360624"/>
        <c:crosses val="autoZero"/>
        <c:crossBetween val="between"/>
      </c:valAx>
      <c:spPr>
        <a:noFill/>
        <a:ln w="25400">
          <a:noFill/>
        </a:ln>
      </c:spPr>
    </c:plotArea>
    <c:legend>
      <c:legendPos val="b"/>
      <c:layout>
        <c:manualLayout>
          <c:xMode val="edge"/>
          <c:yMode val="edge"/>
          <c:x val="1.127943206683364E-2"/>
          <c:y val="0.85076967473306675"/>
          <c:w val="0.97552212418354156"/>
          <c:h val="6.4123895507825934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(HIDE)'!$B$43</c:f>
          <c:strCache>
            <c:ptCount val="1"/>
            <c:pt idx="0">
              <c:v>Impact of Land Value on Pasture Cost Per Day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18982269503546098"/>
          <c:w val="0.75057622384357914"/>
          <c:h val="0.51241358128106329"/>
        </c:manualLayout>
      </c:layout>
      <c:lineChart>
        <c:grouping val="standard"/>
        <c:varyColors val="0"/>
        <c:ser>
          <c:idx val="1"/>
          <c:order val="0"/>
          <c:tx>
            <c:strRef>
              <c:f>'Chart (HIDE)'!$C$45</c:f>
              <c:strCache>
                <c:ptCount val="1"/>
                <c:pt idx="0">
                  <c:v>Improved Pasture (from $1,875/ac)</c:v>
                </c:pt>
              </c:strCache>
            </c:strRef>
          </c:tx>
          <c:marker>
            <c:symbol val="none"/>
          </c:marker>
          <c:dPt>
            <c:idx val="3"/>
            <c:marker>
              <c:symbol val="auto"/>
            </c:marker>
            <c:bubble3D val="0"/>
            <c:spPr/>
            <c:extLst>
              <c:ext xmlns:c16="http://schemas.microsoft.com/office/drawing/2014/chart" uri="{C3380CC4-5D6E-409C-BE32-E72D297353CC}">
                <c16:uniqueId val="{00000001-CEE6-4190-909B-B6D6251B17C4}"/>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E6-4190-909B-B6D6251B17C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(HIDE)'!$B$46:$B$52</c:f>
              <c:numCache>
                <c:formatCode>"$"#,##0</c:formatCode>
                <c:ptCount val="7"/>
                <c:pt idx="0">
                  <c:v>-300</c:v>
                </c:pt>
                <c:pt idx="1">
                  <c:v>-200</c:v>
                </c:pt>
                <c:pt idx="2">
                  <c:v>-100</c:v>
                </c:pt>
                <c:pt idx="3">
                  <c:v>0</c:v>
                </c:pt>
                <c:pt idx="4">
                  <c:v>100</c:v>
                </c:pt>
                <c:pt idx="5">
                  <c:v>200</c:v>
                </c:pt>
                <c:pt idx="6">
                  <c:v>300</c:v>
                </c:pt>
              </c:numCache>
            </c:numRef>
          </c:cat>
          <c:val>
            <c:numRef>
              <c:f>'Chart (HIDE)'!$C$46:$C$52</c:f>
              <c:numCache>
                <c:formatCode>"$"#,##0.00_);[Red]\("$"#,##0.00\)</c:formatCode>
                <c:ptCount val="7"/>
                <c:pt idx="0">
                  <c:v>1.3394100000000002</c:v>
                </c:pt>
                <c:pt idx="1">
                  <c:v>1.3594100000000002</c:v>
                </c:pt>
                <c:pt idx="2">
                  <c:v>1.3894100000000003</c:v>
                </c:pt>
                <c:pt idx="3">
                  <c:v>1.4094100000000003</c:v>
                </c:pt>
                <c:pt idx="4">
                  <c:v>1.4294100000000003</c:v>
                </c:pt>
                <c:pt idx="5">
                  <c:v>1.4594100000000003</c:v>
                </c:pt>
                <c:pt idx="6">
                  <c:v>1.4794100000000003</c:v>
                </c:pt>
              </c:numCache>
            </c:numRef>
          </c:val>
          <c:smooth val="0"/>
          <c:extLst>
            <c:ext xmlns:c16="http://schemas.microsoft.com/office/drawing/2014/chart" uri="{C3380CC4-5D6E-409C-BE32-E72D297353CC}">
              <c16:uniqueId val="{00000002-CEE6-4190-909B-B6D6251B17C4}"/>
            </c:ext>
          </c:extLst>
        </c:ser>
        <c:ser>
          <c:idx val="0"/>
          <c:order val="1"/>
          <c:tx>
            <c:strRef>
              <c:f>'Chart (HIDE)'!$D$45</c:f>
              <c:strCache>
                <c:ptCount val="1"/>
                <c:pt idx="0">
                  <c:v>Marginal Pasture (from $844/ac)</c:v>
                </c:pt>
              </c:strCache>
            </c:strRef>
          </c:tx>
          <c:dPt>
            <c:idx val="0"/>
            <c:marker>
              <c:symbol val="none"/>
            </c:marker>
            <c:bubble3D val="0"/>
            <c:extLst>
              <c:ext xmlns:c16="http://schemas.microsoft.com/office/drawing/2014/chart" uri="{C3380CC4-5D6E-409C-BE32-E72D297353CC}">
                <c16:uniqueId val="{00000004-CEE6-4190-909B-B6D6251B17C4}"/>
              </c:ext>
            </c:extLst>
          </c:dPt>
          <c:dPt>
            <c:idx val="1"/>
            <c:marker>
              <c:symbol val="none"/>
            </c:marker>
            <c:bubble3D val="0"/>
            <c:extLst>
              <c:ext xmlns:c16="http://schemas.microsoft.com/office/drawing/2014/chart" uri="{C3380CC4-5D6E-409C-BE32-E72D297353CC}">
                <c16:uniqueId val="{00000006-CEE6-4190-909B-B6D6251B17C4}"/>
              </c:ext>
            </c:extLst>
          </c:dPt>
          <c:dPt>
            <c:idx val="2"/>
            <c:marker>
              <c:symbol val="none"/>
            </c:marker>
            <c:bubble3D val="0"/>
            <c:extLst>
              <c:ext xmlns:c16="http://schemas.microsoft.com/office/drawing/2014/chart" uri="{C3380CC4-5D6E-409C-BE32-E72D297353CC}">
                <c16:uniqueId val="{00000008-CEE6-4190-909B-B6D6251B17C4}"/>
              </c:ext>
            </c:extLst>
          </c:dPt>
          <c:dPt>
            <c:idx val="4"/>
            <c:marker>
              <c:symbol val="none"/>
            </c:marker>
            <c:bubble3D val="0"/>
            <c:extLst>
              <c:ext xmlns:c16="http://schemas.microsoft.com/office/drawing/2014/chart" uri="{C3380CC4-5D6E-409C-BE32-E72D297353CC}">
                <c16:uniqueId val="{0000000A-CEE6-4190-909B-B6D6251B17C4}"/>
              </c:ext>
            </c:extLst>
          </c:dPt>
          <c:dPt>
            <c:idx val="5"/>
            <c:marker>
              <c:symbol val="none"/>
            </c:marker>
            <c:bubble3D val="0"/>
            <c:extLst>
              <c:ext xmlns:c16="http://schemas.microsoft.com/office/drawing/2014/chart" uri="{C3380CC4-5D6E-409C-BE32-E72D297353CC}">
                <c16:uniqueId val="{0000000C-CEE6-4190-909B-B6D6251B17C4}"/>
              </c:ext>
            </c:extLst>
          </c:dPt>
          <c:dPt>
            <c:idx val="6"/>
            <c:marker>
              <c:symbol val="none"/>
            </c:marker>
            <c:bubble3D val="0"/>
            <c:extLst>
              <c:ext xmlns:c16="http://schemas.microsoft.com/office/drawing/2014/chart" uri="{C3380CC4-5D6E-409C-BE32-E72D297353CC}">
                <c16:uniqueId val="{0000000E-CEE6-4190-909B-B6D6251B17C4}"/>
              </c:ext>
            </c:extLst>
          </c:dPt>
          <c:dLbls>
            <c:dLbl>
              <c:idx val="0"/>
              <c:delete val="1"/>
              <c:extLst>
                <c:ext xmlns:c15="http://schemas.microsoft.com/office/drawing/2012/chart" uri="{CE6537A1-D6FC-4f65-9D91-7224C49458BB}"/>
                <c:ext xmlns:c16="http://schemas.microsoft.com/office/drawing/2014/chart" uri="{C3380CC4-5D6E-409C-BE32-E72D297353CC}">
                  <c16:uniqueId val="{00000004-CEE6-4190-909B-B6D6251B17C4}"/>
                </c:ext>
              </c:extLst>
            </c:dLbl>
            <c:dLbl>
              <c:idx val="1"/>
              <c:delete val="1"/>
              <c:extLst>
                <c:ext xmlns:c15="http://schemas.microsoft.com/office/drawing/2012/chart" uri="{CE6537A1-D6FC-4f65-9D91-7224C49458BB}"/>
                <c:ext xmlns:c16="http://schemas.microsoft.com/office/drawing/2014/chart" uri="{C3380CC4-5D6E-409C-BE32-E72D297353CC}">
                  <c16:uniqueId val="{00000006-CEE6-4190-909B-B6D6251B17C4}"/>
                </c:ext>
              </c:extLst>
            </c:dLbl>
            <c:dLbl>
              <c:idx val="2"/>
              <c:delete val="1"/>
              <c:extLst>
                <c:ext xmlns:c15="http://schemas.microsoft.com/office/drawing/2012/chart" uri="{CE6537A1-D6FC-4f65-9D91-7224C49458BB}"/>
                <c:ext xmlns:c16="http://schemas.microsoft.com/office/drawing/2014/chart" uri="{C3380CC4-5D6E-409C-BE32-E72D297353CC}">
                  <c16:uniqueId val="{00000008-CEE6-4190-909B-B6D6251B17C4}"/>
                </c:ext>
              </c:extLst>
            </c:dLbl>
            <c:dLbl>
              <c:idx val="4"/>
              <c:delete val="1"/>
              <c:extLst>
                <c:ext xmlns:c15="http://schemas.microsoft.com/office/drawing/2012/chart" uri="{CE6537A1-D6FC-4f65-9D91-7224C49458BB}"/>
                <c:ext xmlns:c16="http://schemas.microsoft.com/office/drawing/2014/chart" uri="{C3380CC4-5D6E-409C-BE32-E72D297353CC}">
                  <c16:uniqueId val="{0000000A-CEE6-4190-909B-B6D6251B17C4}"/>
                </c:ext>
              </c:extLst>
            </c:dLbl>
            <c:dLbl>
              <c:idx val="5"/>
              <c:delete val="1"/>
              <c:extLst>
                <c:ext xmlns:c15="http://schemas.microsoft.com/office/drawing/2012/chart" uri="{CE6537A1-D6FC-4f65-9D91-7224C49458BB}"/>
                <c:ext xmlns:c16="http://schemas.microsoft.com/office/drawing/2014/chart" uri="{C3380CC4-5D6E-409C-BE32-E72D297353CC}">
                  <c16:uniqueId val="{0000000C-CEE6-4190-909B-B6D6251B17C4}"/>
                </c:ext>
              </c:extLst>
            </c:dLbl>
            <c:dLbl>
              <c:idx val="6"/>
              <c:delete val="1"/>
              <c:extLst>
                <c:ext xmlns:c15="http://schemas.microsoft.com/office/drawing/2012/chart" uri="{CE6537A1-D6FC-4f65-9D91-7224C49458BB}"/>
                <c:ext xmlns:c16="http://schemas.microsoft.com/office/drawing/2014/chart" uri="{C3380CC4-5D6E-409C-BE32-E72D297353CC}">
                  <c16:uniqueId val="{0000000E-CEE6-4190-909B-B6D6251B17C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(HIDE)'!$B$46:$B$52</c:f>
              <c:numCache>
                <c:formatCode>"$"#,##0</c:formatCode>
                <c:ptCount val="7"/>
                <c:pt idx="0">
                  <c:v>-300</c:v>
                </c:pt>
                <c:pt idx="1">
                  <c:v>-200</c:v>
                </c:pt>
                <c:pt idx="2">
                  <c:v>-100</c:v>
                </c:pt>
                <c:pt idx="3">
                  <c:v>0</c:v>
                </c:pt>
                <c:pt idx="4">
                  <c:v>100</c:v>
                </c:pt>
                <c:pt idx="5">
                  <c:v>200</c:v>
                </c:pt>
                <c:pt idx="6">
                  <c:v>300</c:v>
                </c:pt>
              </c:numCache>
            </c:numRef>
          </c:cat>
          <c:val>
            <c:numRef>
              <c:f>'Chart (HIDE)'!$D$46:$D$52</c:f>
              <c:numCache>
                <c:formatCode>"$"#,##0.00_);[Red]\("$"#,##0.00\)</c:formatCode>
                <c:ptCount val="7"/>
                <c:pt idx="0">
                  <c:v>1.1353074602314814</c:v>
                </c:pt>
                <c:pt idx="1">
                  <c:v>1.2153074602314815</c:v>
                </c:pt>
                <c:pt idx="2">
                  <c:v>1.2853074602314813</c:v>
                </c:pt>
                <c:pt idx="3">
                  <c:v>1.3553074602314814</c:v>
                </c:pt>
                <c:pt idx="4">
                  <c:v>1.4253074602314815</c:v>
                </c:pt>
                <c:pt idx="5">
                  <c:v>1.5053074602314815</c:v>
                </c:pt>
                <c:pt idx="6">
                  <c:v>1.5753074602314814</c:v>
                </c:pt>
              </c:numCache>
            </c:numRef>
          </c:val>
          <c:smooth val="0"/>
          <c:extLst>
            <c:ext xmlns:c16="http://schemas.microsoft.com/office/drawing/2014/chart" uri="{C3380CC4-5D6E-409C-BE32-E72D297353CC}">
              <c16:uniqueId val="{0000000F-CEE6-4190-909B-B6D6251B17C4}"/>
            </c:ext>
          </c:extLst>
        </c:ser>
        <c:dLbls>
          <c:showLegendKey val="0"/>
          <c:showVal val="0"/>
          <c:showCatName val="0"/>
          <c:showSerName val="0"/>
          <c:showPercent val="0"/>
          <c:showBubbleSize val="0"/>
        </c:dLbls>
        <c:smooth val="0"/>
        <c:axId val="206767536"/>
        <c:axId val="1"/>
      </c:lineChart>
      <c:catAx>
        <c:axId val="20676753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Land Value per Acre</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75000000000000011"/>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6767536"/>
        <c:crosses val="autoZero"/>
        <c:crossBetween val="between"/>
      </c:valAx>
      <c:spPr>
        <a:noFill/>
        <a:ln w="25400">
          <a:noFill/>
        </a:ln>
      </c:spPr>
    </c:plotArea>
    <c:legend>
      <c:legendPos val="b"/>
      <c:layout>
        <c:manualLayout>
          <c:xMode val="edge"/>
          <c:yMode val="edge"/>
          <c:x val="0"/>
          <c:y val="0.85076967473306675"/>
          <c:w val="0.99040481575023243"/>
          <c:h val="6.4123895507825934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(HIDE)'!$B$4</c:f>
          <c:strCache>
            <c:ptCount val="1"/>
            <c:pt idx="0">
              <c:v>Impact of Stocking Rate on Pasture Cost Per Day</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137578454867056"/>
          <c:w val="0.75057622384357914"/>
          <c:h val="0.45476115485564311"/>
        </c:manualLayout>
      </c:layout>
      <c:lineChart>
        <c:grouping val="standard"/>
        <c:varyColors val="0"/>
        <c:ser>
          <c:idx val="1"/>
          <c:order val="0"/>
          <c:tx>
            <c:strRef>
              <c:f>'Chart (HIDE)'!$C$6</c:f>
              <c:strCache>
                <c:ptCount val="1"/>
                <c:pt idx="0">
                  <c:v>Improved Pasture (from 94 hd)</c:v>
                </c:pt>
              </c:strCache>
            </c:strRef>
          </c:tx>
          <c:marker>
            <c:symbol val="none"/>
          </c:marker>
          <c:dPt>
            <c:idx val="3"/>
            <c:marker>
              <c:symbol val="auto"/>
            </c:marker>
            <c:bubble3D val="0"/>
            <c:spPr/>
            <c:extLst>
              <c:ext xmlns:c16="http://schemas.microsoft.com/office/drawing/2014/chart" uri="{C3380CC4-5D6E-409C-BE32-E72D297353CC}">
                <c16:uniqueId val="{00000001-45EE-4753-AF51-26B5F06976AA}"/>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EE-4753-AF51-26B5F06976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(HIDE)'!$B$7:$B$13</c:f>
              <c:numCache>
                <c:formatCode>General</c:formatCode>
                <c:ptCount val="7"/>
                <c:pt idx="0">
                  <c:v>-6</c:v>
                </c:pt>
                <c:pt idx="1">
                  <c:v>-4</c:v>
                </c:pt>
                <c:pt idx="2">
                  <c:v>-2</c:v>
                </c:pt>
                <c:pt idx="3">
                  <c:v>0</c:v>
                </c:pt>
                <c:pt idx="4">
                  <c:v>2</c:v>
                </c:pt>
                <c:pt idx="5">
                  <c:v>4</c:v>
                </c:pt>
                <c:pt idx="6">
                  <c:v>6</c:v>
                </c:pt>
              </c:numCache>
            </c:numRef>
          </c:cat>
          <c:val>
            <c:numRef>
              <c:f>'Chart (HIDE)'!$C$7:$C$13</c:f>
              <c:numCache>
                <c:formatCode>"$"#,##0.00_);[Red]\("$"#,##0.00\)</c:formatCode>
                <c:ptCount val="7"/>
                <c:pt idx="0">
                  <c:v>1.51</c:v>
                </c:pt>
                <c:pt idx="1">
                  <c:v>1.48</c:v>
                </c:pt>
                <c:pt idx="2">
                  <c:v>1.43</c:v>
                </c:pt>
                <c:pt idx="3">
                  <c:v>1.4094100000000003</c:v>
                </c:pt>
                <c:pt idx="4">
                  <c:v>1.38</c:v>
                </c:pt>
                <c:pt idx="5">
                  <c:v>1.36</c:v>
                </c:pt>
                <c:pt idx="6">
                  <c:v>1.32</c:v>
                </c:pt>
              </c:numCache>
            </c:numRef>
          </c:val>
          <c:smooth val="0"/>
          <c:extLst>
            <c:ext xmlns:c16="http://schemas.microsoft.com/office/drawing/2014/chart" uri="{C3380CC4-5D6E-409C-BE32-E72D297353CC}">
              <c16:uniqueId val="{00000002-45EE-4753-AF51-26B5F06976AA}"/>
            </c:ext>
          </c:extLst>
        </c:ser>
        <c:ser>
          <c:idx val="0"/>
          <c:order val="1"/>
          <c:tx>
            <c:strRef>
              <c:f>'Chart (HIDE)'!$D$6</c:f>
              <c:strCache>
                <c:ptCount val="1"/>
                <c:pt idx="0">
                  <c:v>Marginal Pasture (from 32 hd)</c:v>
                </c:pt>
              </c:strCache>
            </c:strRef>
          </c:tx>
          <c:marker>
            <c:symbol val="none"/>
          </c:marker>
          <c:dPt>
            <c:idx val="3"/>
            <c:marker>
              <c:symbol val="auto"/>
            </c:marker>
            <c:bubble3D val="0"/>
            <c:extLst>
              <c:ext xmlns:c16="http://schemas.microsoft.com/office/drawing/2014/chart" uri="{C3380CC4-5D6E-409C-BE32-E72D297353CC}">
                <c16:uniqueId val="{00000004-45EE-4753-AF51-26B5F06976AA}"/>
              </c:ext>
            </c:extLst>
          </c:dPt>
          <c:dLbls>
            <c:dLbl>
              <c:idx val="0"/>
              <c:delete val="1"/>
              <c:extLst>
                <c:ext xmlns:c15="http://schemas.microsoft.com/office/drawing/2012/chart" uri="{CE6537A1-D6FC-4f65-9D91-7224C49458BB}"/>
                <c:ext xmlns:c16="http://schemas.microsoft.com/office/drawing/2014/chart" uri="{C3380CC4-5D6E-409C-BE32-E72D297353CC}">
                  <c16:uniqueId val="{00000005-45EE-4753-AF51-26B5F06976AA}"/>
                </c:ext>
              </c:extLst>
            </c:dLbl>
            <c:dLbl>
              <c:idx val="1"/>
              <c:delete val="1"/>
              <c:extLst>
                <c:ext xmlns:c15="http://schemas.microsoft.com/office/drawing/2012/chart" uri="{CE6537A1-D6FC-4f65-9D91-7224C49458BB}"/>
                <c:ext xmlns:c16="http://schemas.microsoft.com/office/drawing/2014/chart" uri="{C3380CC4-5D6E-409C-BE32-E72D297353CC}">
                  <c16:uniqueId val="{00000006-45EE-4753-AF51-26B5F06976AA}"/>
                </c:ext>
              </c:extLst>
            </c:dLbl>
            <c:dLbl>
              <c:idx val="2"/>
              <c:delete val="1"/>
              <c:extLst>
                <c:ext xmlns:c15="http://schemas.microsoft.com/office/drawing/2012/chart" uri="{CE6537A1-D6FC-4f65-9D91-7224C49458BB}"/>
                <c:ext xmlns:c16="http://schemas.microsoft.com/office/drawing/2014/chart" uri="{C3380CC4-5D6E-409C-BE32-E72D297353CC}">
                  <c16:uniqueId val="{00000007-45EE-4753-AF51-26B5F06976AA}"/>
                </c:ext>
              </c:extLst>
            </c:dLbl>
            <c:dLbl>
              <c:idx val="4"/>
              <c:delete val="1"/>
              <c:extLst>
                <c:ext xmlns:c15="http://schemas.microsoft.com/office/drawing/2012/chart" uri="{CE6537A1-D6FC-4f65-9D91-7224C49458BB}"/>
                <c:ext xmlns:c16="http://schemas.microsoft.com/office/drawing/2014/chart" uri="{C3380CC4-5D6E-409C-BE32-E72D297353CC}">
                  <c16:uniqueId val="{00000008-45EE-4753-AF51-26B5F06976AA}"/>
                </c:ext>
              </c:extLst>
            </c:dLbl>
            <c:dLbl>
              <c:idx val="5"/>
              <c:delete val="1"/>
              <c:extLst>
                <c:ext xmlns:c15="http://schemas.microsoft.com/office/drawing/2012/chart" uri="{CE6537A1-D6FC-4f65-9D91-7224C49458BB}"/>
                <c:ext xmlns:c16="http://schemas.microsoft.com/office/drawing/2014/chart" uri="{C3380CC4-5D6E-409C-BE32-E72D297353CC}">
                  <c16:uniqueId val="{00000009-45EE-4753-AF51-26B5F06976AA}"/>
                </c:ext>
              </c:extLst>
            </c:dLbl>
            <c:dLbl>
              <c:idx val="6"/>
              <c:delete val="1"/>
              <c:extLst>
                <c:ext xmlns:c15="http://schemas.microsoft.com/office/drawing/2012/chart" uri="{CE6537A1-D6FC-4f65-9D91-7224C49458BB}"/>
                <c:ext xmlns:c16="http://schemas.microsoft.com/office/drawing/2014/chart" uri="{C3380CC4-5D6E-409C-BE32-E72D297353CC}">
                  <c16:uniqueId val="{0000000A-45EE-4753-AF51-26B5F06976A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(HIDE)'!$D$7:$D$13</c:f>
              <c:numCache>
                <c:formatCode>"$"#,##0.00_);[Red]\("$"#,##0.00\)</c:formatCode>
                <c:ptCount val="7"/>
                <c:pt idx="0">
                  <c:v>1.7</c:v>
                </c:pt>
                <c:pt idx="1">
                  <c:v>1.51</c:v>
                </c:pt>
                <c:pt idx="2">
                  <c:v>1.43</c:v>
                </c:pt>
                <c:pt idx="3">
                  <c:v>1.3553074602314814</c:v>
                </c:pt>
                <c:pt idx="4">
                  <c:v>1.29</c:v>
                </c:pt>
                <c:pt idx="5">
                  <c:v>1.18</c:v>
                </c:pt>
                <c:pt idx="6">
                  <c:v>1.1299999999999999</c:v>
                </c:pt>
              </c:numCache>
            </c:numRef>
          </c:val>
          <c:smooth val="0"/>
          <c:extLst>
            <c:ext xmlns:c16="http://schemas.microsoft.com/office/drawing/2014/chart" uri="{C3380CC4-5D6E-409C-BE32-E72D297353CC}">
              <c16:uniqueId val="{0000000B-45EE-4753-AF51-26B5F06976AA}"/>
            </c:ext>
          </c:extLst>
        </c:ser>
        <c:dLbls>
          <c:showLegendKey val="0"/>
          <c:showVal val="0"/>
          <c:showCatName val="0"/>
          <c:showSerName val="0"/>
          <c:showPercent val="0"/>
          <c:showBubbleSize val="0"/>
        </c:dLbls>
        <c:smooth val="0"/>
        <c:axId val="206729816"/>
        <c:axId val="1"/>
      </c:lineChart>
      <c:catAx>
        <c:axId val="20672981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Pasture Stocking Rate</a:t>
                </a:r>
              </a:p>
            </c:rich>
          </c:tx>
          <c:overlay val="0"/>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60000000000000009"/>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6729816"/>
        <c:crosses val="autoZero"/>
        <c:crossBetween val="between"/>
      </c:valAx>
      <c:spPr>
        <a:noFill/>
        <a:ln w="25400">
          <a:noFill/>
        </a:ln>
      </c:spPr>
    </c:plotArea>
    <c:legend>
      <c:legendPos val="b"/>
      <c:layout>
        <c:manualLayout>
          <c:xMode val="edge"/>
          <c:yMode val="edge"/>
          <c:x val="7.0237742021377766E-2"/>
          <c:y val="0.82949323642237027"/>
          <c:w val="0.8358557354243763"/>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(HIDE)'!$B$65</c:f>
          <c:strCache>
            <c:ptCount val="1"/>
            <c:pt idx="0">
              <c:v>Impact of Owned Pasture Equity on Pasture Cost Per Day (@6% for 25 yrs) </c:v>
            </c:pt>
          </c:strCache>
        </c:strRef>
      </c:tx>
      <c:layout>
        <c:manualLayout>
          <c:xMode val="edge"/>
          <c:yMode val="edge"/>
          <c:x val="0.16621778046974894"/>
          <c:y val="2.2424665484025517E-2"/>
        </c:manualLayout>
      </c:layout>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(HIDE)'!$C$67</c:f>
              <c:strCache>
                <c:ptCount val="1"/>
                <c:pt idx="0">
                  <c:v>Improved Pasture (from 75% equity)</c:v>
                </c:pt>
              </c:strCache>
            </c:strRef>
          </c:tx>
          <c:marker>
            <c:symbol val="none"/>
          </c:marker>
          <c:dPt>
            <c:idx val="3"/>
            <c:marker>
              <c:symbol val="auto"/>
            </c:marker>
            <c:bubble3D val="0"/>
            <c:spPr/>
            <c:extLst>
              <c:ext xmlns:c16="http://schemas.microsoft.com/office/drawing/2014/chart" uri="{C3380CC4-5D6E-409C-BE32-E72D297353CC}">
                <c16:uniqueId val="{00000001-70D9-41C6-8EDA-ECDB21D24780}"/>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D9-41C6-8EDA-ECDB21D2478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(HIDE)'!$B$68:$B$74</c:f>
              <c:numCache>
                <c:formatCode>0%</c:formatCode>
                <c:ptCount val="7"/>
                <c:pt idx="0">
                  <c:v>-0.15000000000000002</c:v>
                </c:pt>
                <c:pt idx="1">
                  <c:v>-0.1</c:v>
                </c:pt>
                <c:pt idx="2">
                  <c:v>-0.05</c:v>
                </c:pt>
                <c:pt idx="3">
                  <c:v>0</c:v>
                </c:pt>
                <c:pt idx="4">
                  <c:v>0.05</c:v>
                </c:pt>
                <c:pt idx="5">
                  <c:v>0.1</c:v>
                </c:pt>
                <c:pt idx="6">
                  <c:v>0.15000000000000002</c:v>
                </c:pt>
              </c:numCache>
            </c:numRef>
          </c:cat>
          <c:val>
            <c:numRef>
              <c:f>'Chart (HIDE)'!$C$68:$C$74</c:f>
              <c:numCache>
                <c:formatCode>"$"#,##0.00_);[Red]\("$"#,##0.00\)</c:formatCode>
                <c:ptCount val="7"/>
                <c:pt idx="0">
                  <c:v>1.6894100000000003</c:v>
                </c:pt>
                <c:pt idx="1">
                  <c:v>1.5894100000000002</c:v>
                </c:pt>
                <c:pt idx="2">
                  <c:v>1.4994100000000004</c:v>
                </c:pt>
                <c:pt idx="3">
                  <c:v>1.4094100000000003</c:v>
                </c:pt>
                <c:pt idx="4">
                  <c:v>1.3194100000000002</c:v>
                </c:pt>
                <c:pt idx="5">
                  <c:v>1.2294100000000003</c:v>
                </c:pt>
                <c:pt idx="6">
                  <c:v>1.1294100000000002</c:v>
                </c:pt>
              </c:numCache>
            </c:numRef>
          </c:val>
          <c:smooth val="0"/>
          <c:extLst>
            <c:ext xmlns:c16="http://schemas.microsoft.com/office/drawing/2014/chart" uri="{C3380CC4-5D6E-409C-BE32-E72D297353CC}">
              <c16:uniqueId val="{00000002-70D9-41C6-8EDA-ECDB21D24780}"/>
            </c:ext>
          </c:extLst>
        </c:ser>
        <c:ser>
          <c:idx val="0"/>
          <c:order val="1"/>
          <c:tx>
            <c:strRef>
              <c:f>'Chart (HIDE)'!$D$67</c:f>
              <c:strCache>
                <c:ptCount val="1"/>
                <c:pt idx="0">
                  <c:v>Marginal Pasture (from 75% equity)</c:v>
                </c:pt>
              </c:strCache>
            </c:strRef>
          </c:tx>
          <c:dPt>
            <c:idx val="0"/>
            <c:marker>
              <c:symbol val="none"/>
            </c:marker>
            <c:bubble3D val="0"/>
            <c:extLst>
              <c:ext xmlns:c16="http://schemas.microsoft.com/office/drawing/2014/chart" uri="{C3380CC4-5D6E-409C-BE32-E72D297353CC}">
                <c16:uniqueId val="{00000004-70D9-41C6-8EDA-ECDB21D24780}"/>
              </c:ext>
            </c:extLst>
          </c:dPt>
          <c:dPt>
            <c:idx val="1"/>
            <c:marker>
              <c:symbol val="none"/>
            </c:marker>
            <c:bubble3D val="0"/>
            <c:extLst>
              <c:ext xmlns:c16="http://schemas.microsoft.com/office/drawing/2014/chart" uri="{C3380CC4-5D6E-409C-BE32-E72D297353CC}">
                <c16:uniqueId val="{00000006-70D9-41C6-8EDA-ECDB21D24780}"/>
              </c:ext>
            </c:extLst>
          </c:dPt>
          <c:dPt>
            <c:idx val="2"/>
            <c:marker>
              <c:symbol val="none"/>
            </c:marker>
            <c:bubble3D val="0"/>
            <c:extLst>
              <c:ext xmlns:c16="http://schemas.microsoft.com/office/drawing/2014/chart" uri="{C3380CC4-5D6E-409C-BE32-E72D297353CC}">
                <c16:uniqueId val="{00000008-70D9-41C6-8EDA-ECDB21D24780}"/>
              </c:ext>
            </c:extLst>
          </c:dPt>
          <c:dPt>
            <c:idx val="4"/>
            <c:marker>
              <c:symbol val="none"/>
            </c:marker>
            <c:bubble3D val="0"/>
            <c:extLst>
              <c:ext xmlns:c16="http://schemas.microsoft.com/office/drawing/2014/chart" uri="{C3380CC4-5D6E-409C-BE32-E72D297353CC}">
                <c16:uniqueId val="{0000000A-70D9-41C6-8EDA-ECDB21D24780}"/>
              </c:ext>
            </c:extLst>
          </c:dPt>
          <c:dPt>
            <c:idx val="5"/>
            <c:marker>
              <c:symbol val="none"/>
            </c:marker>
            <c:bubble3D val="0"/>
            <c:extLst>
              <c:ext xmlns:c16="http://schemas.microsoft.com/office/drawing/2014/chart" uri="{C3380CC4-5D6E-409C-BE32-E72D297353CC}">
                <c16:uniqueId val="{0000000C-70D9-41C6-8EDA-ECDB21D24780}"/>
              </c:ext>
            </c:extLst>
          </c:dPt>
          <c:dPt>
            <c:idx val="6"/>
            <c:marker>
              <c:symbol val="none"/>
            </c:marker>
            <c:bubble3D val="0"/>
            <c:extLst>
              <c:ext xmlns:c16="http://schemas.microsoft.com/office/drawing/2014/chart" uri="{C3380CC4-5D6E-409C-BE32-E72D297353CC}">
                <c16:uniqueId val="{0000000E-70D9-41C6-8EDA-ECDB21D24780}"/>
              </c:ext>
            </c:extLst>
          </c:dPt>
          <c:dLbls>
            <c:dLbl>
              <c:idx val="0"/>
              <c:delete val="1"/>
              <c:extLst>
                <c:ext xmlns:c15="http://schemas.microsoft.com/office/drawing/2012/chart" uri="{CE6537A1-D6FC-4f65-9D91-7224C49458BB}"/>
                <c:ext xmlns:c16="http://schemas.microsoft.com/office/drawing/2014/chart" uri="{C3380CC4-5D6E-409C-BE32-E72D297353CC}">
                  <c16:uniqueId val="{00000004-70D9-41C6-8EDA-ECDB21D24780}"/>
                </c:ext>
              </c:extLst>
            </c:dLbl>
            <c:dLbl>
              <c:idx val="1"/>
              <c:delete val="1"/>
              <c:extLst>
                <c:ext xmlns:c15="http://schemas.microsoft.com/office/drawing/2012/chart" uri="{CE6537A1-D6FC-4f65-9D91-7224C49458BB}"/>
                <c:ext xmlns:c16="http://schemas.microsoft.com/office/drawing/2014/chart" uri="{C3380CC4-5D6E-409C-BE32-E72D297353CC}">
                  <c16:uniqueId val="{00000006-70D9-41C6-8EDA-ECDB21D24780}"/>
                </c:ext>
              </c:extLst>
            </c:dLbl>
            <c:dLbl>
              <c:idx val="2"/>
              <c:delete val="1"/>
              <c:extLst>
                <c:ext xmlns:c15="http://schemas.microsoft.com/office/drawing/2012/chart" uri="{CE6537A1-D6FC-4f65-9D91-7224C49458BB}"/>
                <c:ext xmlns:c16="http://schemas.microsoft.com/office/drawing/2014/chart" uri="{C3380CC4-5D6E-409C-BE32-E72D297353CC}">
                  <c16:uniqueId val="{00000008-70D9-41C6-8EDA-ECDB21D24780}"/>
                </c:ext>
              </c:extLst>
            </c:dLbl>
            <c:dLbl>
              <c:idx val="4"/>
              <c:delete val="1"/>
              <c:extLst>
                <c:ext xmlns:c15="http://schemas.microsoft.com/office/drawing/2012/chart" uri="{CE6537A1-D6FC-4f65-9D91-7224C49458BB}"/>
                <c:ext xmlns:c16="http://schemas.microsoft.com/office/drawing/2014/chart" uri="{C3380CC4-5D6E-409C-BE32-E72D297353CC}">
                  <c16:uniqueId val="{0000000A-70D9-41C6-8EDA-ECDB21D24780}"/>
                </c:ext>
              </c:extLst>
            </c:dLbl>
            <c:dLbl>
              <c:idx val="5"/>
              <c:delete val="1"/>
              <c:extLst>
                <c:ext xmlns:c15="http://schemas.microsoft.com/office/drawing/2012/chart" uri="{CE6537A1-D6FC-4f65-9D91-7224C49458BB}"/>
                <c:ext xmlns:c16="http://schemas.microsoft.com/office/drawing/2014/chart" uri="{C3380CC4-5D6E-409C-BE32-E72D297353CC}">
                  <c16:uniqueId val="{0000000C-70D9-41C6-8EDA-ECDB21D24780}"/>
                </c:ext>
              </c:extLst>
            </c:dLbl>
            <c:dLbl>
              <c:idx val="6"/>
              <c:delete val="1"/>
              <c:extLst>
                <c:ext xmlns:c15="http://schemas.microsoft.com/office/drawing/2012/chart" uri="{CE6537A1-D6FC-4f65-9D91-7224C49458BB}"/>
                <c:ext xmlns:c16="http://schemas.microsoft.com/office/drawing/2014/chart" uri="{C3380CC4-5D6E-409C-BE32-E72D297353CC}">
                  <c16:uniqueId val="{0000000E-70D9-41C6-8EDA-ECDB21D2478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(HIDE)'!$B$68:$B$74</c:f>
              <c:numCache>
                <c:formatCode>0%</c:formatCode>
                <c:ptCount val="7"/>
                <c:pt idx="0">
                  <c:v>-0.15000000000000002</c:v>
                </c:pt>
                <c:pt idx="1">
                  <c:v>-0.1</c:v>
                </c:pt>
                <c:pt idx="2">
                  <c:v>-0.05</c:v>
                </c:pt>
                <c:pt idx="3">
                  <c:v>0</c:v>
                </c:pt>
                <c:pt idx="4">
                  <c:v>0.05</c:v>
                </c:pt>
                <c:pt idx="5">
                  <c:v>0.1</c:v>
                </c:pt>
                <c:pt idx="6">
                  <c:v>0.15000000000000002</c:v>
                </c:pt>
              </c:numCache>
            </c:numRef>
          </c:cat>
          <c:val>
            <c:numRef>
              <c:f>'Chart (HIDE)'!$D$68:$D$74</c:f>
              <c:numCache>
                <c:formatCode>"$"#,##0.00_);[Red]\("$"#,##0.00\)</c:formatCode>
                <c:ptCount val="7"/>
                <c:pt idx="0">
                  <c:v>1.7253074602314813</c:v>
                </c:pt>
                <c:pt idx="1">
                  <c:v>1.6053074602314814</c:v>
                </c:pt>
                <c:pt idx="2">
                  <c:v>1.4753074602314813</c:v>
                </c:pt>
                <c:pt idx="3">
                  <c:v>1.3553074602314814</c:v>
                </c:pt>
                <c:pt idx="4">
                  <c:v>1.2353074602314815</c:v>
                </c:pt>
                <c:pt idx="5">
                  <c:v>1.1153074602314814</c:v>
                </c:pt>
                <c:pt idx="6">
                  <c:v>0.98530746023148141</c:v>
                </c:pt>
              </c:numCache>
            </c:numRef>
          </c:val>
          <c:smooth val="0"/>
          <c:extLst>
            <c:ext xmlns:c16="http://schemas.microsoft.com/office/drawing/2014/chart" uri="{C3380CC4-5D6E-409C-BE32-E72D297353CC}">
              <c16:uniqueId val="{0000000F-70D9-41C6-8EDA-ECDB21D24780}"/>
            </c:ext>
          </c:extLst>
        </c:ser>
        <c:dLbls>
          <c:showLegendKey val="0"/>
          <c:showVal val="0"/>
          <c:showCatName val="0"/>
          <c:showSerName val="0"/>
          <c:showPercent val="0"/>
          <c:showBubbleSize val="0"/>
        </c:dLbls>
        <c:smooth val="0"/>
        <c:axId val="204950624"/>
        <c:axId val="1"/>
      </c:lineChart>
      <c:catAx>
        <c:axId val="20495062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Owned Pasture Equity per Acre</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4950624"/>
        <c:crosses val="autoZero"/>
        <c:crossBetween val="between"/>
      </c:valAx>
      <c:spPr>
        <a:noFill/>
        <a:ln w="25400">
          <a:noFill/>
        </a:ln>
      </c:spPr>
    </c:plotArea>
    <c:legend>
      <c:legendPos val="b"/>
      <c:layout>
        <c:manualLayout>
          <c:xMode val="edge"/>
          <c:yMode val="edge"/>
          <c:x val="0"/>
          <c:y val="0.85076967943109683"/>
          <c:w val="0.99791053777852234"/>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(HIDE)'!$B$84</c:f>
          <c:strCache>
            <c:ptCount val="1"/>
            <c:pt idx="0">
              <c:v>Impact of Pasture Equity on Total Pasture Cost Per Day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(HIDE)'!$C$87</c:f>
              <c:strCache>
                <c:ptCount val="1"/>
                <c:pt idx="0">
                  <c:v>Improved Pasture ($1,875/ac, 94 hd,135 days)</c:v>
                </c:pt>
              </c:strCache>
            </c:strRef>
          </c:tx>
          <c:marker>
            <c:symbol val="none"/>
          </c:marker>
          <c:dPt>
            <c:idx val="3"/>
            <c:bubble3D val="0"/>
            <c:spPr/>
            <c:extLst>
              <c:ext xmlns:c16="http://schemas.microsoft.com/office/drawing/2014/chart" uri="{C3380CC4-5D6E-409C-BE32-E72D297353CC}">
                <c16:uniqueId val="{00000001-8781-4D06-A627-FC641B7B5020}"/>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(HIDE)'!$C$88:$C$98</c:f>
              <c:numCache>
                <c:formatCode>"$"#,##0.00_);[Red]\("$"#,##0.00\)</c:formatCode>
                <c:ptCount val="11"/>
                <c:pt idx="0">
                  <c:v>2.7894100000000002</c:v>
                </c:pt>
                <c:pt idx="1">
                  <c:v>2.6094100000000005</c:v>
                </c:pt>
                <c:pt idx="2">
                  <c:v>2.4194100000000001</c:v>
                </c:pt>
                <c:pt idx="3">
                  <c:v>2.2394100000000003</c:v>
                </c:pt>
                <c:pt idx="4">
                  <c:v>2.0494100000000004</c:v>
                </c:pt>
                <c:pt idx="5">
                  <c:v>1.8694100000000002</c:v>
                </c:pt>
                <c:pt idx="6">
                  <c:v>1.6894100000000003</c:v>
                </c:pt>
                <c:pt idx="7">
                  <c:v>1.4994100000000004</c:v>
                </c:pt>
                <c:pt idx="8">
                  <c:v>1.3194100000000002</c:v>
                </c:pt>
                <c:pt idx="9">
                  <c:v>1.1294100000000002</c:v>
                </c:pt>
                <c:pt idx="10">
                  <c:v>0.94941000000000031</c:v>
                </c:pt>
              </c:numCache>
            </c:numRef>
          </c:val>
          <c:smooth val="0"/>
          <c:extLst>
            <c:ext xmlns:c16="http://schemas.microsoft.com/office/drawing/2014/chart" uri="{C3380CC4-5D6E-409C-BE32-E72D297353CC}">
              <c16:uniqueId val="{00000002-8781-4D06-A627-FC641B7B5020}"/>
            </c:ext>
          </c:extLst>
        </c:ser>
        <c:ser>
          <c:idx val="0"/>
          <c:order val="1"/>
          <c:tx>
            <c:strRef>
              <c:f>'Chart (HIDE)'!$D$87</c:f>
              <c:strCache>
                <c:ptCount val="1"/>
                <c:pt idx="0">
                  <c:v>Marginal Pasture  ($844/ac, 32 hd,135 days)</c:v>
                </c:pt>
              </c:strCache>
            </c:strRef>
          </c:tx>
          <c:marker>
            <c:symbol val="none"/>
          </c:marker>
          <c:dPt>
            <c:idx val="0"/>
            <c:bubble3D val="0"/>
            <c:extLst>
              <c:ext xmlns:c16="http://schemas.microsoft.com/office/drawing/2014/chart" uri="{C3380CC4-5D6E-409C-BE32-E72D297353CC}">
                <c16:uniqueId val="{00000004-8781-4D06-A627-FC641B7B5020}"/>
              </c:ext>
            </c:extLst>
          </c:dPt>
          <c:dPt>
            <c:idx val="1"/>
            <c:bubble3D val="0"/>
            <c:extLst>
              <c:ext xmlns:c16="http://schemas.microsoft.com/office/drawing/2014/chart" uri="{C3380CC4-5D6E-409C-BE32-E72D297353CC}">
                <c16:uniqueId val="{00000006-8781-4D06-A627-FC641B7B5020}"/>
              </c:ext>
            </c:extLst>
          </c:dPt>
          <c:dPt>
            <c:idx val="2"/>
            <c:bubble3D val="0"/>
            <c:extLst>
              <c:ext xmlns:c16="http://schemas.microsoft.com/office/drawing/2014/chart" uri="{C3380CC4-5D6E-409C-BE32-E72D297353CC}">
                <c16:uniqueId val="{00000008-8781-4D06-A627-FC641B7B5020}"/>
              </c:ext>
            </c:extLst>
          </c:dPt>
          <c:dPt>
            <c:idx val="4"/>
            <c:bubble3D val="0"/>
            <c:extLst>
              <c:ext xmlns:c16="http://schemas.microsoft.com/office/drawing/2014/chart" uri="{C3380CC4-5D6E-409C-BE32-E72D297353CC}">
                <c16:uniqueId val="{0000000A-8781-4D06-A627-FC641B7B5020}"/>
              </c:ext>
            </c:extLst>
          </c:dPt>
          <c:dPt>
            <c:idx val="5"/>
            <c:bubble3D val="0"/>
            <c:extLst>
              <c:ext xmlns:c16="http://schemas.microsoft.com/office/drawing/2014/chart" uri="{C3380CC4-5D6E-409C-BE32-E72D297353CC}">
                <c16:uniqueId val="{0000000C-8781-4D06-A627-FC641B7B5020}"/>
              </c:ext>
            </c:extLst>
          </c:dPt>
          <c:dPt>
            <c:idx val="6"/>
            <c:bubble3D val="0"/>
            <c:extLst>
              <c:ext xmlns:c16="http://schemas.microsoft.com/office/drawing/2014/chart" uri="{C3380CC4-5D6E-409C-BE32-E72D297353CC}">
                <c16:uniqueId val="{0000000E-8781-4D06-A627-FC641B7B5020}"/>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(HIDE)'!$D$88:$D$98</c:f>
              <c:numCache>
                <c:formatCode>"$"#,##0.00_);[Red]\("$"#,##0.00\)</c:formatCode>
                <c:ptCount val="11"/>
                <c:pt idx="0">
                  <c:v>3.1853074602314813</c:v>
                </c:pt>
                <c:pt idx="1">
                  <c:v>2.9453074602314819</c:v>
                </c:pt>
                <c:pt idx="2">
                  <c:v>2.7053074602314817</c:v>
                </c:pt>
                <c:pt idx="3">
                  <c:v>2.4553074602314817</c:v>
                </c:pt>
                <c:pt idx="4">
                  <c:v>2.2153074602314815</c:v>
                </c:pt>
                <c:pt idx="5">
                  <c:v>1.9653074602314815</c:v>
                </c:pt>
                <c:pt idx="6">
                  <c:v>1.7253074602314813</c:v>
                </c:pt>
                <c:pt idx="7">
                  <c:v>1.4753074602314813</c:v>
                </c:pt>
                <c:pt idx="8">
                  <c:v>1.2353074602314815</c:v>
                </c:pt>
                <c:pt idx="9">
                  <c:v>0.98530746023148141</c:v>
                </c:pt>
                <c:pt idx="10">
                  <c:v>0.74530746023148142</c:v>
                </c:pt>
              </c:numCache>
            </c:numRef>
          </c:val>
          <c:smooth val="0"/>
          <c:extLst>
            <c:ext xmlns:c16="http://schemas.microsoft.com/office/drawing/2014/chart" uri="{C3380CC4-5D6E-409C-BE32-E72D297353CC}">
              <c16:uniqueId val="{0000000F-8781-4D06-A627-FC641B7B5020}"/>
            </c:ext>
          </c:extLst>
        </c:ser>
        <c:dLbls>
          <c:showLegendKey val="0"/>
          <c:showVal val="0"/>
          <c:showCatName val="0"/>
          <c:showSerName val="0"/>
          <c:showPercent val="0"/>
          <c:showBubbleSize val="0"/>
        </c:dLbls>
        <c:smooth val="0"/>
        <c:axId val="204954888"/>
        <c:axId val="1"/>
      </c:lineChart>
      <c:catAx>
        <c:axId val="204954888"/>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Pasture Equity</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4954888"/>
        <c:crosses val="autoZero"/>
        <c:crossBetween val="between"/>
      </c:valAx>
      <c:spPr>
        <a:noFill/>
        <a:ln w="25400">
          <a:noFill/>
        </a:ln>
      </c:spPr>
    </c:plotArea>
    <c:legend>
      <c:legendPos val="b"/>
      <c:layout>
        <c:manualLayout>
          <c:xMode val="edge"/>
          <c:yMode val="edge"/>
          <c:x val="0"/>
          <c:y val="0.85076967943109683"/>
          <c:w val="0.9979105178077905"/>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(HIDE)'!$B$107</c:f>
          <c:strCache>
            <c:ptCount val="1"/>
            <c:pt idx="0">
              <c:v>Impact of Pasture Equity on Payment Per Acre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(HIDE)'!$C$110</c:f>
              <c:strCache>
                <c:ptCount val="1"/>
                <c:pt idx="0">
                  <c:v>Improved Pasture ($1,875/ac)</c:v>
                </c:pt>
              </c:strCache>
            </c:strRef>
          </c:tx>
          <c:marker>
            <c:symbol val="none"/>
          </c:marker>
          <c:dPt>
            <c:idx val="3"/>
            <c:bubble3D val="0"/>
            <c:spPr/>
            <c:extLst>
              <c:ext xmlns:c16="http://schemas.microsoft.com/office/drawing/2014/chart" uri="{C3380CC4-5D6E-409C-BE32-E72D297353CC}">
                <c16:uniqueId val="{00000001-FF91-4EB7-A246-1355D37156D7}"/>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(HIDE)'!$C$111:$C$121</c:f>
              <c:numCache>
                <c:formatCode>"$"#,##0_);[Red]\("$"#,##0\)</c:formatCode>
                <c:ptCount val="11"/>
                <c:pt idx="0">
                  <c:v>146.67509664801372</c:v>
                </c:pt>
                <c:pt idx="1">
                  <c:v>132.00758698321235</c:v>
                </c:pt>
                <c:pt idx="2">
                  <c:v>117.34007731841096</c:v>
                </c:pt>
                <c:pt idx="3">
                  <c:v>102.67256765360959</c:v>
                </c:pt>
                <c:pt idx="4">
                  <c:v>88.005057988808232</c:v>
                </c:pt>
                <c:pt idx="5">
                  <c:v>73.33754832400686</c:v>
                </c:pt>
                <c:pt idx="6">
                  <c:v>58.670038659205481</c:v>
                </c:pt>
                <c:pt idx="7">
                  <c:v>44.002528994404123</c:v>
                </c:pt>
                <c:pt idx="8">
                  <c:v>29.335019329602737</c:v>
                </c:pt>
                <c:pt idx="9">
                  <c:v>14.667509664801369</c:v>
                </c:pt>
                <c:pt idx="10">
                  <c:v>0</c:v>
                </c:pt>
              </c:numCache>
            </c:numRef>
          </c:val>
          <c:smooth val="0"/>
          <c:extLst>
            <c:ext xmlns:c16="http://schemas.microsoft.com/office/drawing/2014/chart" uri="{C3380CC4-5D6E-409C-BE32-E72D297353CC}">
              <c16:uniqueId val="{00000002-FF91-4EB7-A246-1355D37156D7}"/>
            </c:ext>
          </c:extLst>
        </c:ser>
        <c:ser>
          <c:idx val="0"/>
          <c:order val="1"/>
          <c:tx>
            <c:strRef>
              <c:f>'Chart (HIDE)'!$D$110</c:f>
              <c:strCache>
                <c:ptCount val="1"/>
                <c:pt idx="0">
                  <c:v>Marginal Pasture  ($844/ac)</c:v>
                </c:pt>
              </c:strCache>
            </c:strRef>
          </c:tx>
          <c:marker>
            <c:symbol val="none"/>
          </c:marker>
          <c:dPt>
            <c:idx val="0"/>
            <c:bubble3D val="0"/>
            <c:extLst>
              <c:ext xmlns:c16="http://schemas.microsoft.com/office/drawing/2014/chart" uri="{C3380CC4-5D6E-409C-BE32-E72D297353CC}">
                <c16:uniqueId val="{00000004-FF91-4EB7-A246-1355D37156D7}"/>
              </c:ext>
            </c:extLst>
          </c:dPt>
          <c:dPt>
            <c:idx val="1"/>
            <c:bubble3D val="0"/>
            <c:extLst>
              <c:ext xmlns:c16="http://schemas.microsoft.com/office/drawing/2014/chart" uri="{C3380CC4-5D6E-409C-BE32-E72D297353CC}">
                <c16:uniqueId val="{00000006-FF91-4EB7-A246-1355D37156D7}"/>
              </c:ext>
            </c:extLst>
          </c:dPt>
          <c:dPt>
            <c:idx val="2"/>
            <c:bubble3D val="0"/>
            <c:extLst>
              <c:ext xmlns:c16="http://schemas.microsoft.com/office/drawing/2014/chart" uri="{C3380CC4-5D6E-409C-BE32-E72D297353CC}">
                <c16:uniqueId val="{00000008-FF91-4EB7-A246-1355D37156D7}"/>
              </c:ext>
            </c:extLst>
          </c:dPt>
          <c:dPt>
            <c:idx val="4"/>
            <c:bubble3D val="0"/>
            <c:extLst>
              <c:ext xmlns:c16="http://schemas.microsoft.com/office/drawing/2014/chart" uri="{C3380CC4-5D6E-409C-BE32-E72D297353CC}">
                <c16:uniqueId val="{0000000A-FF91-4EB7-A246-1355D37156D7}"/>
              </c:ext>
            </c:extLst>
          </c:dPt>
          <c:dPt>
            <c:idx val="5"/>
            <c:bubble3D val="0"/>
            <c:extLst>
              <c:ext xmlns:c16="http://schemas.microsoft.com/office/drawing/2014/chart" uri="{C3380CC4-5D6E-409C-BE32-E72D297353CC}">
                <c16:uniqueId val="{0000000C-FF91-4EB7-A246-1355D37156D7}"/>
              </c:ext>
            </c:extLst>
          </c:dPt>
          <c:dPt>
            <c:idx val="6"/>
            <c:bubble3D val="0"/>
            <c:extLst>
              <c:ext xmlns:c16="http://schemas.microsoft.com/office/drawing/2014/chart" uri="{C3380CC4-5D6E-409C-BE32-E72D297353CC}">
                <c16:uniqueId val="{0000000E-FF91-4EB7-A246-1355D37156D7}"/>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(HIDE)'!$D$111:$D$121</c:f>
              <c:numCache>
                <c:formatCode>"$"#,##0_);[Red]\("$"#,##0\)</c:formatCode>
                <c:ptCount val="11"/>
                <c:pt idx="0">
                  <c:v>66.003793491606174</c:v>
                </c:pt>
                <c:pt idx="1">
                  <c:v>59.403414142445556</c:v>
                </c:pt>
                <c:pt idx="2">
                  <c:v>52.803034793284937</c:v>
                </c:pt>
                <c:pt idx="3">
                  <c:v>46.202655444124318</c:v>
                </c:pt>
                <c:pt idx="4">
                  <c:v>39.602276094963706</c:v>
                </c:pt>
                <c:pt idx="5">
                  <c:v>33.001896745803087</c:v>
                </c:pt>
                <c:pt idx="6">
                  <c:v>26.401517396642468</c:v>
                </c:pt>
                <c:pt idx="7">
                  <c:v>19.801138047481853</c:v>
                </c:pt>
                <c:pt idx="8">
                  <c:v>13.200758698321232</c:v>
                </c:pt>
                <c:pt idx="9">
                  <c:v>6.6003793491606162</c:v>
                </c:pt>
                <c:pt idx="10">
                  <c:v>0</c:v>
                </c:pt>
              </c:numCache>
            </c:numRef>
          </c:val>
          <c:smooth val="0"/>
          <c:extLst>
            <c:ext xmlns:c16="http://schemas.microsoft.com/office/drawing/2014/chart" uri="{C3380CC4-5D6E-409C-BE32-E72D297353CC}">
              <c16:uniqueId val="{0000000F-FF91-4EB7-A246-1355D37156D7}"/>
            </c:ext>
          </c:extLst>
        </c:ser>
        <c:dLbls>
          <c:showLegendKey val="0"/>
          <c:showVal val="0"/>
          <c:showCatName val="0"/>
          <c:showSerName val="0"/>
          <c:showPercent val="0"/>
          <c:showBubbleSize val="0"/>
        </c:dLbls>
        <c:smooth val="0"/>
        <c:axId val="207090464"/>
        <c:axId val="1"/>
      </c:lineChart>
      <c:catAx>
        <c:axId val="20709046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Pasture Equity</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Acre</a:t>
                </a:r>
              </a:p>
            </c:rich>
          </c:tx>
          <c:overlay val="0"/>
        </c:title>
        <c:numFmt formatCode="&quot;$&quot;#,##0_);[Red]\(&quot;$&quot;#,##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090464"/>
        <c:crosses val="autoZero"/>
        <c:crossBetween val="between"/>
      </c:valAx>
      <c:spPr>
        <a:noFill/>
        <a:ln w="25400">
          <a:noFill/>
        </a:ln>
      </c:spPr>
    </c:plotArea>
    <c:legend>
      <c:legendPos val="b"/>
      <c:layout>
        <c:manualLayout>
          <c:xMode val="edge"/>
          <c:yMode val="edge"/>
          <c:x val="0"/>
          <c:y val="0.85076967943109683"/>
          <c:w val="0.99791052177109785"/>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(HIDE)'!$B$108</c:f>
          <c:strCache>
            <c:ptCount val="1"/>
            <c:pt idx="0">
              <c:v>Impact of Pasture Equity on Payment Per Quarter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(HIDE)'!$F$110</c:f>
              <c:strCache>
                <c:ptCount val="1"/>
                <c:pt idx="0">
                  <c:v>Improved Pasture ($1,875/ac)</c:v>
                </c:pt>
              </c:strCache>
            </c:strRef>
          </c:tx>
          <c:marker>
            <c:symbol val="none"/>
          </c:marker>
          <c:dPt>
            <c:idx val="3"/>
            <c:bubble3D val="0"/>
            <c:spPr/>
            <c:extLst>
              <c:ext xmlns:c16="http://schemas.microsoft.com/office/drawing/2014/chart" uri="{C3380CC4-5D6E-409C-BE32-E72D297353CC}">
                <c16:uniqueId val="{00000001-60D0-4ECE-A728-ACA5589F5400}"/>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(HIDE)'!$F$111:$F$121</c:f>
              <c:numCache>
                <c:formatCode>"$"#,##0_);[Red]\("$"#,##0\)</c:formatCode>
                <c:ptCount val="11"/>
                <c:pt idx="0">
                  <c:v>23468.015463682197</c:v>
                </c:pt>
                <c:pt idx="1">
                  <c:v>21121.213917313977</c:v>
                </c:pt>
                <c:pt idx="2">
                  <c:v>18774.412370945753</c:v>
                </c:pt>
                <c:pt idx="3">
                  <c:v>16427.610824577536</c:v>
                </c:pt>
                <c:pt idx="4">
                  <c:v>14080.809278209317</c:v>
                </c:pt>
                <c:pt idx="5">
                  <c:v>11734.007731841099</c:v>
                </c:pt>
                <c:pt idx="6">
                  <c:v>9387.2061854728763</c:v>
                </c:pt>
                <c:pt idx="7">
                  <c:v>7040.4046391046595</c:v>
                </c:pt>
                <c:pt idx="8">
                  <c:v>4693.6030927364382</c:v>
                </c:pt>
                <c:pt idx="9">
                  <c:v>2346.8015463682191</c:v>
                </c:pt>
                <c:pt idx="10">
                  <c:v>0</c:v>
                </c:pt>
              </c:numCache>
            </c:numRef>
          </c:val>
          <c:smooth val="0"/>
          <c:extLst>
            <c:ext xmlns:c16="http://schemas.microsoft.com/office/drawing/2014/chart" uri="{C3380CC4-5D6E-409C-BE32-E72D297353CC}">
              <c16:uniqueId val="{00000002-60D0-4ECE-A728-ACA5589F5400}"/>
            </c:ext>
          </c:extLst>
        </c:ser>
        <c:ser>
          <c:idx val="0"/>
          <c:order val="1"/>
          <c:tx>
            <c:strRef>
              <c:f>'Chart (HIDE)'!$G$110</c:f>
              <c:strCache>
                <c:ptCount val="1"/>
                <c:pt idx="0">
                  <c:v>Marginal Pasture  ($844/ac)</c:v>
                </c:pt>
              </c:strCache>
            </c:strRef>
          </c:tx>
          <c:marker>
            <c:symbol val="none"/>
          </c:marker>
          <c:dPt>
            <c:idx val="0"/>
            <c:bubble3D val="0"/>
            <c:extLst>
              <c:ext xmlns:c16="http://schemas.microsoft.com/office/drawing/2014/chart" uri="{C3380CC4-5D6E-409C-BE32-E72D297353CC}">
                <c16:uniqueId val="{00000004-60D0-4ECE-A728-ACA5589F5400}"/>
              </c:ext>
            </c:extLst>
          </c:dPt>
          <c:dPt>
            <c:idx val="1"/>
            <c:bubble3D val="0"/>
            <c:extLst>
              <c:ext xmlns:c16="http://schemas.microsoft.com/office/drawing/2014/chart" uri="{C3380CC4-5D6E-409C-BE32-E72D297353CC}">
                <c16:uniqueId val="{00000006-60D0-4ECE-A728-ACA5589F5400}"/>
              </c:ext>
            </c:extLst>
          </c:dPt>
          <c:dPt>
            <c:idx val="2"/>
            <c:bubble3D val="0"/>
            <c:extLst>
              <c:ext xmlns:c16="http://schemas.microsoft.com/office/drawing/2014/chart" uri="{C3380CC4-5D6E-409C-BE32-E72D297353CC}">
                <c16:uniqueId val="{00000008-60D0-4ECE-A728-ACA5589F5400}"/>
              </c:ext>
            </c:extLst>
          </c:dPt>
          <c:dPt>
            <c:idx val="4"/>
            <c:bubble3D val="0"/>
            <c:extLst>
              <c:ext xmlns:c16="http://schemas.microsoft.com/office/drawing/2014/chart" uri="{C3380CC4-5D6E-409C-BE32-E72D297353CC}">
                <c16:uniqueId val="{0000000A-60D0-4ECE-A728-ACA5589F5400}"/>
              </c:ext>
            </c:extLst>
          </c:dPt>
          <c:dPt>
            <c:idx val="5"/>
            <c:bubble3D val="0"/>
            <c:extLst>
              <c:ext xmlns:c16="http://schemas.microsoft.com/office/drawing/2014/chart" uri="{C3380CC4-5D6E-409C-BE32-E72D297353CC}">
                <c16:uniqueId val="{0000000C-60D0-4ECE-A728-ACA5589F5400}"/>
              </c:ext>
            </c:extLst>
          </c:dPt>
          <c:dPt>
            <c:idx val="6"/>
            <c:bubble3D val="0"/>
            <c:extLst>
              <c:ext xmlns:c16="http://schemas.microsoft.com/office/drawing/2014/chart" uri="{C3380CC4-5D6E-409C-BE32-E72D297353CC}">
                <c16:uniqueId val="{0000000E-60D0-4ECE-A728-ACA5589F5400}"/>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(HIDE)'!$G$111:$G$121</c:f>
              <c:numCache>
                <c:formatCode>"$"#,##0_);[Red]\("$"#,##0\)</c:formatCode>
                <c:ptCount val="11"/>
                <c:pt idx="0">
                  <c:v>10560.606958656988</c:v>
                </c:pt>
                <c:pt idx="1">
                  <c:v>9504.5462627912893</c:v>
                </c:pt>
                <c:pt idx="2">
                  <c:v>8448.4855669255903</c:v>
                </c:pt>
                <c:pt idx="3">
                  <c:v>7392.4248710598913</c:v>
                </c:pt>
                <c:pt idx="4">
                  <c:v>6336.3641751941932</c:v>
                </c:pt>
                <c:pt idx="5">
                  <c:v>5280.3034793284942</c:v>
                </c:pt>
                <c:pt idx="6">
                  <c:v>4224.2427834627952</c:v>
                </c:pt>
                <c:pt idx="7">
                  <c:v>3168.1820875970966</c:v>
                </c:pt>
                <c:pt idx="8">
                  <c:v>2112.1213917313971</c:v>
                </c:pt>
                <c:pt idx="9">
                  <c:v>1056.0606958656986</c:v>
                </c:pt>
                <c:pt idx="10">
                  <c:v>0</c:v>
                </c:pt>
              </c:numCache>
            </c:numRef>
          </c:val>
          <c:smooth val="0"/>
          <c:extLst>
            <c:ext xmlns:c16="http://schemas.microsoft.com/office/drawing/2014/chart" uri="{C3380CC4-5D6E-409C-BE32-E72D297353CC}">
              <c16:uniqueId val="{0000000F-60D0-4ECE-A728-ACA5589F5400}"/>
            </c:ext>
          </c:extLst>
        </c:ser>
        <c:dLbls>
          <c:showLegendKey val="0"/>
          <c:showVal val="0"/>
          <c:showCatName val="0"/>
          <c:showSerName val="0"/>
          <c:showPercent val="0"/>
          <c:showBubbleSize val="0"/>
        </c:dLbls>
        <c:smooth val="0"/>
        <c:axId val="207097680"/>
        <c:axId val="1"/>
      </c:lineChart>
      <c:catAx>
        <c:axId val="207097680"/>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Pasture Equity</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Quarter</a:t>
                </a:r>
              </a:p>
            </c:rich>
          </c:tx>
          <c:overlay val="0"/>
        </c:title>
        <c:numFmt formatCode="&quot;$&quot;#,##0_);[Red]\(&quot;$&quot;#,##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097680"/>
        <c:crosses val="autoZero"/>
        <c:crossBetween val="between"/>
      </c:valAx>
      <c:spPr>
        <a:noFill/>
        <a:ln w="25400">
          <a:noFill/>
        </a:ln>
      </c:spPr>
    </c:plotArea>
    <c:legend>
      <c:legendPos val="b"/>
      <c:layout>
        <c:manualLayout>
          <c:xMode val="edge"/>
          <c:yMode val="edge"/>
          <c:x val="0"/>
          <c:y val="0.85076967943109683"/>
          <c:w val="0.99791052177109785"/>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(HIDE)'!$B$85</c:f>
          <c:strCache>
            <c:ptCount val="1"/>
            <c:pt idx="0">
              <c:v>Impact of Pasture Equity on Total Pasture Cost Per Season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(HIDE)'!$F$87</c:f>
              <c:strCache>
                <c:ptCount val="1"/>
                <c:pt idx="0">
                  <c:v>Improved Pasture ($1,875/ac, 94 hd,135 days)</c:v>
                </c:pt>
              </c:strCache>
            </c:strRef>
          </c:tx>
          <c:marker>
            <c:symbol val="none"/>
          </c:marker>
          <c:dPt>
            <c:idx val="3"/>
            <c:bubble3D val="0"/>
            <c:spPr/>
            <c:extLst>
              <c:ext xmlns:c16="http://schemas.microsoft.com/office/drawing/2014/chart" uri="{C3380CC4-5D6E-409C-BE32-E72D297353CC}">
                <c16:uniqueId val="{00000001-5F2F-4305-A0B9-BF9420D94ABA}"/>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(HIDE)'!$F$88:$F$98</c:f>
              <c:numCache>
                <c:formatCode>"$"#,##0_);[Red]\("$"#,##0\)</c:formatCode>
                <c:ptCount val="11"/>
                <c:pt idx="0">
                  <c:v>376.57035000000002</c:v>
                </c:pt>
                <c:pt idx="1">
                  <c:v>352.27035000000006</c:v>
                </c:pt>
                <c:pt idx="2">
                  <c:v>326.62035000000003</c:v>
                </c:pt>
                <c:pt idx="3">
                  <c:v>302.32035000000002</c:v>
                </c:pt>
                <c:pt idx="4">
                  <c:v>276.67035000000004</c:v>
                </c:pt>
                <c:pt idx="5">
                  <c:v>252.37035000000003</c:v>
                </c:pt>
                <c:pt idx="6">
                  <c:v>228.07035000000005</c:v>
                </c:pt>
                <c:pt idx="7">
                  <c:v>202.42035000000004</c:v>
                </c:pt>
                <c:pt idx="8">
                  <c:v>178.12035000000003</c:v>
                </c:pt>
                <c:pt idx="9">
                  <c:v>152.47035000000002</c:v>
                </c:pt>
                <c:pt idx="10">
                  <c:v>128.17035000000004</c:v>
                </c:pt>
              </c:numCache>
            </c:numRef>
          </c:val>
          <c:smooth val="0"/>
          <c:extLst>
            <c:ext xmlns:c16="http://schemas.microsoft.com/office/drawing/2014/chart" uri="{C3380CC4-5D6E-409C-BE32-E72D297353CC}">
              <c16:uniqueId val="{00000002-5F2F-4305-A0B9-BF9420D94ABA}"/>
            </c:ext>
          </c:extLst>
        </c:ser>
        <c:ser>
          <c:idx val="0"/>
          <c:order val="1"/>
          <c:tx>
            <c:strRef>
              <c:f>'Chart (HIDE)'!$G$87</c:f>
              <c:strCache>
                <c:ptCount val="1"/>
                <c:pt idx="0">
                  <c:v>Marginal Pasture  ($844/ac, 32 hd,135 days)</c:v>
                </c:pt>
              </c:strCache>
            </c:strRef>
          </c:tx>
          <c:marker>
            <c:symbol val="none"/>
          </c:marker>
          <c:dPt>
            <c:idx val="0"/>
            <c:bubble3D val="0"/>
            <c:extLst>
              <c:ext xmlns:c16="http://schemas.microsoft.com/office/drawing/2014/chart" uri="{C3380CC4-5D6E-409C-BE32-E72D297353CC}">
                <c16:uniqueId val="{00000004-5F2F-4305-A0B9-BF9420D94ABA}"/>
              </c:ext>
            </c:extLst>
          </c:dPt>
          <c:dPt>
            <c:idx val="1"/>
            <c:bubble3D val="0"/>
            <c:extLst>
              <c:ext xmlns:c16="http://schemas.microsoft.com/office/drawing/2014/chart" uri="{C3380CC4-5D6E-409C-BE32-E72D297353CC}">
                <c16:uniqueId val="{00000006-5F2F-4305-A0B9-BF9420D94ABA}"/>
              </c:ext>
            </c:extLst>
          </c:dPt>
          <c:dPt>
            <c:idx val="2"/>
            <c:bubble3D val="0"/>
            <c:extLst>
              <c:ext xmlns:c16="http://schemas.microsoft.com/office/drawing/2014/chart" uri="{C3380CC4-5D6E-409C-BE32-E72D297353CC}">
                <c16:uniqueId val="{00000008-5F2F-4305-A0B9-BF9420D94ABA}"/>
              </c:ext>
            </c:extLst>
          </c:dPt>
          <c:dPt>
            <c:idx val="4"/>
            <c:bubble3D val="0"/>
            <c:extLst>
              <c:ext xmlns:c16="http://schemas.microsoft.com/office/drawing/2014/chart" uri="{C3380CC4-5D6E-409C-BE32-E72D297353CC}">
                <c16:uniqueId val="{0000000A-5F2F-4305-A0B9-BF9420D94ABA}"/>
              </c:ext>
            </c:extLst>
          </c:dPt>
          <c:dPt>
            <c:idx val="5"/>
            <c:bubble3D val="0"/>
            <c:extLst>
              <c:ext xmlns:c16="http://schemas.microsoft.com/office/drawing/2014/chart" uri="{C3380CC4-5D6E-409C-BE32-E72D297353CC}">
                <c16:uniqueId val="{0000000C-5F2F-4305-A0B9-BF9420D94ABA}"/>
              </c:ext>
            </c:extLst>
          </c:dPt>
          <c:dPt>
            <c:idx val="6"/>
            <c:bubble3D val="0"/>
            <c:extLst>
              <c:ext xmlns:c16="http://schemas.microsoft.com/office/drawing/2014/chart" uri="{C3380CC4-5D6E-409C-BE32-E72D297353CC}">
                <c16:uniqueId val="{0000000E-5F2F-4305-A0B9-BF9420D94ABA}"/>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(HIDE)'!$G$88:$G$98</c:f>
              <c:numCache>
                <c:formatCode>"$"#,##0_);[Red]\("$"#,##0\)</c:formatCode>
                <c:ptCount val="11"/>
                <c:pt idx="0">
                  <c:v>430.01650713124997</c:v>
                </c:pt>
                <c:pt idx="1">
                  <c:v>397.61650713125005</c:v>
                </c:pt>
                <c:pt idx="2">
                  <c:v>365.21650713125001</c:v>
                </c:pt>
                <c:pt idx="3">
                  <c:v>331.46650713125001</c:v>
                </c:pt>
                <c:pt idx="4">
                  <c:v>299.06650713124998</c:v>
                </c:pt>
                <c:pt idx="5">
                  <c:v>265.31650713124998</c:v>
                </c:pt>
                <c:pt idx="6">
                  <c:v>232.91650713124997</c:v>
                </c:pt>
                <c:pt idx="7">
                  <c:v>199.16650713124997</c:v>
                </c:pt>
                <c:pt idx="8">
                  <c:v>166.76650713124999</c:v>
                </c:pt>
                <c:pt idx="9">
                  <c:v>133.01650713124999</c:v>
                </c:pt>
                <c:pt idx="10">
                  <c:v>100.61650713124999</c:v>
                </c:pt>
              </c:numCache>
            </c:numRef>
          </c:val>
          <c:smooth val="0"/>
          <c:extLst>
            <c:ext xmlns:c16="http://schemas.microsoft.com/office/drawing/2014/chart" uri="{C3380CC4-5D6E-409C-BE32-E72D297353CC}">
              <c16:uniqueId val="{0000000F-5F2F-4305-A0B9-BF9420D94ABA}"/>
            </c:ext>
          </c:extLst>
        </c:ser>
        <c:dLbls>
          <c:showLegendKey val="0"/>
          <c:showVal val="0"/>
          <c:showCatName val="0"/>
          <c:showSerName val="0"/>
          <c:showPercent val="0"/>
          <c:showBubbleSize val="0"/>
        </c:dLbls>
        <c:smooth val="0"/>
        <c:axId val="207092760"/>
        <c:axId val="1"/>
      </c:lineChart>
      <c:catAx>
        <c:axId val="207092760"/>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Pasture Equity</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_);[Red]\(&quot;$&quot;#,##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092760"/>
        <c:crosses val="autoZero"/>
        <c:crossBetween val="between"/>
      </c:valAx>
      <c:spPr>
        <a:noFill/>
        <a:ln w="25400">
          <a:noFill/>
        </a:ln>
      </c:spPr>
    </c:plotArea>
    <c:legend>
      <c:legendPos val="b"/>
      <c:layout>
        <c:manualLayout>
          <c:xMode val="edge"/>
          <c:yMode val="edge"/>
          <c:x val="0"/>
          <c:y val="0.85076967943109683"/>
          <c:w val="0.9979105178077905"/>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(HIDE)'!$B$86</c:f>
          <c:strCache>
            <c:ptCount val="1"/>
            <c:pt idx="0">
              <c:v>Impact of Pasture Equity on Total Pasture Cost Per Acre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(HIDE)'!$I$87</c:f>
              <c:strCache>
                <c:ptCount val="1"/>
                <c:pt idx="0">
                  <c:v>Improved Pasture ($1,875/ac, 94 hd,135 days)</c:v>
                </c:pt>
              </c:strCache>
            </c:strRef>
          </c:tx>
          <c:marker>
            <c:symbol val="none"/>
          </c:marker>
          <c:dPt>
            <c:idx val="3"/>
            <c:bubble3D val="0"/>
            <c:spPr/>
            <c:extLst>
              <c:ext xmlns:c16="http://schemas.microsoft.com/office/drawing/2014/chart" uri="{C3380CC4-5D6E-409C-BE32-E72D297353CC}">
                <c16:uniqueId val="{00000001-5E34-4136-BB6A-185761E034C2}"/>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(HIDE)'!$I$88:$I$98</c:f>
              <c:numCache>
                <c:formatCode>"$"#,##0_);[Red]\("$"#,##0\)</c:formatCode>
                <c:ptCount val="11"/>
                <c:pt idx="0">
                  <c:v>222.17650649999999</c:v>
                </c:pt>
                <c:pt idx="1">
                  <c:v>207.83950650000003</c:v>
                </c:pt>
                <c:pt idx="2">
                  <c:v>192.7060065</c:v>
                </c:pt>
                <c:pt idx="3">
                  <c:v>178.36900650000001</c:v>
                </c:pt>
                <c:pt idx="4">
                  <c:v>163.23550650000001</c:v>
                </c:pt>
                <c:pt idx="5">
                  <c:v>148.8985065</c:v>
                </c:pt>
                <c:pt idx="6">
                  <c:v>134.56150650000001</c:v>
                </c:pt>
                <c:pt idx="7">
                  <c:v>119.42800650000002</c:v>
                </c:pt>
                <c:pt idx="8">
                  <c:v>105.09100650000001</c:v>
                </c:pt>
                <c:pt idx="9">
                  <c:v>89.957506500000008</c:v>
                </c:pt>
                <c:pt idx="10">
                  <c:v>75.620506500000019</c:v>
                </c:pt>
              </c:numCache>
            </c:numRef>
          </c:val>
          <c:smooth val="0"/>
          <c:extLst>
            <c:ext xmlns:c16="http://schemas.microsoft.com/office/drawing/2014/chart" uri="{C3380CC4-5D6E-409C-BE32-E72D297353CC}">
              <c16:uniqueId val="{00000002-5E34-4136-BB6A-185761E034C2}"/>
            </c:ext>
          </c:extLst>
        </c:ser>
        <c:ser>
          <c:idx val="0"/>
          <c:order val="1"/>
          <c:tx>
            <c:strRef>
              <c:f>'Chart (HIDE)'!$J$87</c:f>
              <c:strCache>
                <c:ptCount val="1"/>
                <c:pt idx="0">
                  <c:v>Marginal Pasture  ($844/ac, 32 hd,135 days)</c:v>
                </c:pt>
              </c:strCache>
            </c:strRef>
          </c:tx>
          <c:marker>
            <c:symbol val="none"/>
          </c:marker>
          <c:dPt>
            <c:idx val="0"/>
            <c:bubble3D val="0"/>
            <c:extLst>
              <c:ext xmlns:c16="http://schemas.microsoft.com/office/drawing/2014/chart" uri="{C3380CC4-5D6E-409C-BE32-E72D297353CC}">
                <c16:uniqueId val="{00000004-5E34-4136-BB6A-185761E034C2}"/>
              </c:ext>
            </c:extLst>
          </c:dPt>
          <c:dPt>
            <c:idx val="1"/>
            <c:bubble3D val="0"/>
            <c:extLst>
              <c:ext xmlns:c16="http://schemas.microsoft.com/office/drawing/2014/chart" uri="{C3380CC4-5D6E-409C-BE32-E72D297353CC}">
                <c16:uniqueId val="{00000006-5E34-4136-BB6A-185761E034C2}"/>
              </c:ext>
            </c:extLst>
          </c:dPt>
          <c:dPt>
            <c:idx val="2"/>
            <c:bubble3D val="0"/>
            <c:extLst>
              <c:ext xmlns:c16="http://schemas.microsoft.com/office/drawing/2014/chart" uri="{C3380CC4-5D6E-409C-BE32-E72D297353CC}">
                <c16:uniqueId val="{00000008-5E34-4136-BB6A-185761E034C2}"/>
              </c:ext>
            </c:extLst>
          </c:dPt>
          <c:dPt>
            <c:idx val="4"/>
            <c:bubble3D val="0"/>
            <c:extLst>
              <c:ext xmlns:c16="http://schemas.microsoft.com/office/drawing/2014/chart" uri="{C3380CC4-5D6E-409C-BE32-E72D297353CC}">
                <c16:uniqueId val="{0000000A-5E34-4136-BB6A-185761E034C2}"/>
              </c:ext>
            </c:extLst>
          </c:dPt>
          <c:dPt>
            <c:idx val="5"/>
            <c:bubble3D val="0"/>
            <c:extLst>
              <c:ext xmlns:c16="http://schemas.microsoft.com/office/drawing/2014/chart" uri="{C3380CC4-5D6E-409C-BE32-E72D297353CC}">
                <c16:uniqueId val="{0000000C-5E34-4136-BB6A-185761E034C2}"/>
              </c:ext>
            </c:extLst>
          </c:dPt>
          <c:dPt>
            <c:idx val="6"/>
            <c:bubble3D val="0"/>
            <c:extLst>
              <c:ext xmlns:c16="http://schemas.microsoft.com/office/drawing/2014/chart" uri="{C3380CC4-5D6E-409C-BE32-E72D297353CC}">
                <c16:uniqueId val="{0000000E-5E34-4136-BB6A-185761E034C2}"/>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(HIDE)'!$J$88:$J$98</c:f>
              <c:numCache>
                <c:formatCode>"$"#,##0_);[Red]\("$"#,##0\)</c:formatCode>
                <c:ptCount val="11"/>
                <c:pt idx="0">
                  <c:v>86.003301426250005</c:v>
                </c:pt>
                <c:pt idx="1">
                  <c:v>79.523301426250015</c:v>
                </c:pt>
                <c:pt idx="2">
                  <c:v>73.043301426250011</c:v>
                </c:pt>
                <c:pt idx="3">
                  <c:v>66.293301426250011</c:v>
                </c:pt>
                <c:pt idx="4">
                  <c:v>59.81330142625</c:v>
                </c:pt>
                <c:pt idx="5">
                  <c:v>53.06330142625</c:v>
                </c:pt>
                <c:pt idx="6">
                  <c:v>46.583301426249996</c:v>
                </c:pt>
                <c:pt idx="7">
                  <c:v>39.833301426249996</c:v>
                </c:pt>
                <c:pt idx="8">
                  <c:v>33.353301426249999</c:v>
                </c:pt>
                <c:pt idx="9">
                  <c:v>26.603301426249999</c:v>
                </c:pt>
                <c:pt idx="10">
                  <c:v>20.123301426249999</c:v>
                </c:pt>
              </c:numCache>
            </c:numRef>
          </c:val>
          <c:smooth val="0"/>
          <c:extLst>
            <c:ext xmlns:c16="http://schemas.microsoft.com/office/drawing/2014/chart" uri="{C3380CC4-5D6E-409C-BE32-E72D297353CC}">
              <c16:uniqueId val="{0000000F-5E34-4136-BB6A-185761E034C2}"/>
            </c:ext>
          </c:extLst>
        </c:ser>
        <c:dLbls>
          <c:showLegendKey val="0"/>
          <c:showVal val="0"/>
          <c:showCatName val="0"/>
          <c:showSerName val="0"/>
          <c:showPercent val="0"/>
          <c:showBubbleSize val="0"/>
        </c:dLbls>
        <c:smooth val="0"/>
        <c:axId val="207093744"/>
        <c:axId val="1"/>
      </c:lineChart>
      <c:catAx>
        <c:axId val="20709374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Pasture Equity</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Acre</a:t>
                </a:r>
              </a:p>
            </c:rich>
          </c:tx>
          <c:overlay val="0"/>
        </c:title>
        <c:numFmt formatCode="&quot;$&quot;#,##0_);[Red]\(&quot;$&quot;#,##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093744"/>
        <c:crosses val="autoZero"/>
        <c:crossBetween val="between"/>
      </c:valAx>
      <c:spPr>
        <a:noFill/>
        <a:ln w="25400">
          <a:noFill/>
        </a:ln>
      </c:spPr>
    </c:plotArea>
    <c:legend>
      <c:legendPos val="b"/>
      <c:layout>
        <c:manualLayout>
          <c:xMode val="edge"/>
          <c:yMode val="edge"/>
          <c:x val="0"/>
          <c:y val="0.85076967943109683"/>
          <c:w val="0.9979105178077905"/>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(HIDE)'!$B$22</c:f>
          <c:strCache>
            <c:ptCount val="1"/>
            <c:pt idx="0">
              <c:v>Impact of Grazing Days on Pasture Cost Per Day</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18627659574468086"/>
          <c:w val="0.78574116696951346"/>
          <c:h val="0.46986038979170158"/>
        </c:manualLayout>
      </c:layout>
      <c:lineChart>
        <c:grouping val="standard"/>
        <c:varyColors val="0"/>
        <c:ser>
          <c:idx val="1"/>
          <c:order val="0"/>
          <c:tx>
            <c:strRef>
              <c:f>'Chart (HIDE)'!$C$24</c:f>
              <c:strCache>
                <c:ptCount val="1"/>
                <c:pt idx="0">
                  <c:v>Improved Pasture (from 135 days)</c:v>
                </c:pt>
              </c:strCache>
            </c:strRef>
          </c:tx>
          <c:marker>
            <c:symbol val="none"/>
          </c:marker>
          <c:dPt>
            <c:idx val="3"/>
            <c:marker>
              <c:symbol val="auto"/>
            </c:marker>
            <c:bubble3D val="0"/>
            <c:spPr/>
            <c:extLst>
              <c:ext xmlns:c16="http://schemas.microsoft.com/office/drawing/2014/chart" uri="{C3380CC4-5D6E-409C-BE32-E72D297353CC}">
                <c16:uniqueId val="{00000001-CCC7-4CF3-9432-13884A8DF957}"/>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C7-4CF3-9432-13884A8DF95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(HIDE)'!$B$25:$B$31</c:f>
              <c:numCache>
                <c:formatCode>General</c:formatCode>
                <c:ptCount val="7"/>
                <c:pt idx="0">
                  <c:v>-15</c:v>
                </c:pt>
                <c:pt idx="1">
                  <c:v>-10</c:v>
                </c:pt>
                <c:pt idx="2">
                  <c:v>-5</c:v>
                </c:pt>
                <c:pt idx="3">
                  <c:v>0</c:v>
                </c:pt>
                <c:pt idx="4">
                  <c:v>5</c:v>
                </c:pt>
                <c:pt idx="5">
                  <c:v>10</c:v>
                </c:pt>
                <c:pt idx="6">
                  <c:v>15</c:v>
                </c:pt>
              </c:numCache>
            </c:numRef>
          </c:cat>
          <c:val>
            <c:numRef>
              <c:f>'Chart (HIDE)'!$C$25:$C$31</c:f>
              <c:numCache>
                <c:formatCode>"$"#,##0.00_);[Red]\("$"#,##0.00\)</c:formatCode>
                <c:ptCount val="7"/>
                <c:pt idx="0">
                  <c:v>1.58</c:v>
                </c:pt>
                <c:pt idx="1">
                  <c:v>1.52</c:v>
                </c:pt>
                <c:pt idx="2">
                  <c:v>1.46</c:v>
                </c:pt>
                <c:pt idx="3">
                  <c:v>1.4094100000000003</c:v>
                </c:pt>
                <c:pt idx="4">
                  <c:v>1.35</c:v>
                </c:pt>
                <c:pt idx="5">
                  <c:v>1.31</c:v>
                </c:pt>
                <c:pt idx="6">
                  <c:v>1.26</c:v>
                </c:pt>
              </c:numCache>
            </c:numRef>
          </c:val>
          <c:smooth val="0"/>
          <c:extLst>
            <c:ext xmlns:c16="http://schemas.microsoft.com/office/drawing/2014/chart" uri="{C3380CC4-5D6E-409C-BE32-E72D297353CC}">
              <c16:uniqueId val="{00000002-CCC7-4CF3-9432-13884A8DF957}"/>
            </c:ext>
          </c:extLst>
        </c:ser>
        <c:ser>
          <c:idx val="0"/>
          <c:order val="1"/>
          <c:tx>
            <c:strRef>
              <c:f>'Chart (HIDE)'!$D$24</c:f>
              <c:strCache>
                <c:ptCount val="1"/>
                <c:pt idx="0">
                  <c:v>Marginal Pasture (from 135 days)</c:v>
                </c:pt>
              </c:strCache>
            </c:strRef>
          </c:tx>
          <c:dPt>
            <c:idx val="0"/>
            <c:marker>
              <c:symbol val="none"/>
            </c:marker>
            <c:bubble3D val="0"/>
            <c:extLst>
              <c:ext xmlns:c16="http://schemas.microsoft.com/office/drawing/2014/chart" uri="{C3380CC4-5D6E-409C-BE32-E72D297353CC}">
                <c16:uniqueId val="{00000003-CCC7-4CF3-9432-13884A8DF957}"/>
              </c:ext>
            </c:extLst>
          </c:dPt>
          <c:dPt>
            <c:idx val="1"/>
            <c:marker>
              <c:symbol val="none"/>
            </c:marker>
            <c:bubble3D val="0"/>
            <c:extLst>
              <c:ext xmlns:c16="http://schemas.microsoft.com/office/drawing/2014/chart" uri="{C3380CC4-5D6E-409C-BE32-E72D297353CC}">
                <c16:uniqueId val="{00000004-CCC7-4CF3-9432-13884A8DF957}"/>
              </c:ext>
            </c:extLst>
          </c:dPt>
          <c:dPt>
            <c:idx val="2"/>
            <c:marker>
              <c:symbol val="none"/>
            </c:marker>
            <c:bubble3D val="0"/>
            <c:extLst>
              <c:ext xmlns:c16="http://schemas.microsoft.com/office/drawing/2014/chart" uri="{C3380CC4-5D6E-409C-BE32-E72D297353CC}">
                <c16:uniqueId val="{00000005-CCC7-4CF3-9432-13884A8DF957}"/>
              </c:ext>
            </c:extLst>
          </c:dPt>
          <c:dPt>
            <c:idx val="4"/>
            <c:marker>
              <c:symbol val="none"/>
            </c:marker>
            <c:bubble3D val="0"/>
            <c:extLst>
              <c:ext xmlns:c16="http://schemas.microsoft.com/office/drawing/2014/chart" uri="{C3380CC4-5D6E-409C-BE32-E72D297353CC}">
                <c16:uniqueId val="{00000006-CCC7-4CF3-9432-13884A8DF957}"/>
              </c:ext>
            </c:extLst>
          </c:dPt>
          <c:dPt>
            <c:idx val="5"/>
            <c:marker>
              <c:symbol val="none"/>
            </c:marker>
            <c:bubble3D val="0"/>
            <c:extLst>
              <c:ext xmlns:c16="http://schemas.microsoft.com/office/drawing/2014/chart" uri="{C3380CC4-5D6E-409C-BE32-E72D297353CC}">
                <c16:uniqueId val="{00000007-CCC7-4CF3-9432-13884A8DF957}"/>
              </c:ext>
            </c:extLst>
          </c:dPt>
          <c:dPt>
            <c:idx val="6"/>
            <c:marker>
              <c:symbol val="none"/>
            </c:marker>
            <c:bubble3D val="0"/>
            <c:extLst>
              <c:ext xmlns:c16="http://schemas.microsoft.com/office/drawing/2014/chart" uri="{C3380CC4-5D6E-409C-BE32-E72D297353CC}">
                <c16:uniqueId val="{00000008-CCC7-4CF3-9432-13884A8DF957}"/>
              </c:ext>
            </c:extLst>
          </c:dPt>
          <c:dLbls>
            <c:dLbl>
              <c:idx val="0"/>
              <c:delete val="1"/>
              <c:extLst>
                <c:ext xmlns:c15="http://schemas.microsoft.com/office/drawing/2012/chart" uri="{CE6537A1-D6FC-4f65-9D91-7224C49458BB}"/>
                <c:ext xmlns:c16="http://schemas.microsoft.com/office/drawing/2014/chart" uri="{C3380CC4-5D6E-409C-BE32-E72D297353CC}">
                  <c16:uniqueId val="{00000003-CCC7-4CF3-9432-13884A8DF957}"/>
                </c:ext>
              </c:extLst>
            </c:dLbl>
            <c:dLbl>
              <c:idx val="1"/>
              <c:delete val="1"/>
              <c:extLst>
                <c:ext xmlns:c15="http://schemas.microsoft.com/office/drawing/2012/chart" uri="{CE6537A1-D6FC-4f65-9D91-7224C49458BB}"/>
                <c:ext xmlns:c16="http://schemas.microsoft.com/office/drawing/2014/chart" uri="{C3380CC4-5D6E-409C-BE32-E72D297353CC}">
                  <c16:uniqueId val="{00000004-CCC7-4CF3-9432-13884A8DF957}"/>
                </c:ext>
              </c:extLst>
            </c:dLbl>
            <c:dLbl>
              <c:idx val="2"/>
              <c:delete val="1"/>
              <c:extLst>
                <c:ext xmlns:c15="http://schemas.microsoft.com/office/drawing/2012/chart" uri="{CE6537A1-D6FC-4f65-9D91-7224C49458BB}"/>
                <c:ext xmlns:c16="http://schemas.microsoft.com/office/drawing/2014/chart" uri="{C3380CC4-5D6E-409C-BE32-E72D297353CC}">
                  <c16:uniqueId val="{00000005-CCC7-4CF3-9432-13884A8DF957}"/>
                </c:ext>
              </c:extLst>
            </c:dLbl>
            <c:dLbl>
              <c:idx val="4"/>
              <c:delete val="1"/>
              <c:extLst>
                <c:ext xmlns:c15="http://schemas.microsoft.com/office/drawing/2012/chart" uri="{CE6537A1-D6FC-4f65-9D91-7224C49458BB}"/>
                <c:ext xmlns:c16="http://schemas.microsoft.com/office/drawing/2014/chart" uri="{C3380CC4-5D6E-409C-BE32-E72D297353CC}">
                  <c16:uniqueId val="{00000006-CCC7-4CF3-9432-13884A8DF957}"/>
                </c:ext>
              </c:extLst>
            </c:dLbl>
            <c:dLbl>
              <c:idx val="5"/>
              <c:delete val="1"/>
              <c:extLst>
                <c:ext xmlns:c15="http://schemas.microsoft.com/office/drawing/2012/chart" uri="{CE6537A1-D6FC-4f65-9D91-7224C49458BB}"/>
                <c:ext xmlns:c16="http://schemas.microsoft.com/office/drawing/2014/chart" uri="{C3380CC4-5D6E-409C-BE32-E72D297353CC}">
                  <c16:uniqueId val="{00000007-CCC7-4CF3-9432-13884A8DF957}"/>
                </c:ext>
              </c:extLst>
            </c:dLbl>
            <c:dLbl>
              <c:idx val="6"/>
              <c:delete val="1"/>
              <c:extLst>
                <c:ext xmlns:c15="http://schemas.microsoft.com/office/drawing/2012/chart" uri="{CE6537A1-D6FC-4f65-9D91-7224C49458BB}"/>
                <c:ext xmlns:c16="http://schemas.microsoft.com/office/drawing/2014/chart" uri="{C3380CC4-5D6E-409C-BE32-E72D297353CC}">
                  <c16:uniqueId val="{00000008-CCC7-4CF3-9432-13884A8DF95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(HIDE)'!$B$25:$B$31</c:f>
              <c:numCache>
                <c:formatCode>General</c:formatCode>
                <c:ptCount val="7"/>
                <c:pt idx="0">
                  <c:v>-15</c:v>
                </c:pt>
                <c:pt idx="1">
                  <c:v>-10</c:v>
                </c:pt>
                <c:pt idx="2">
                  <c:v>-5</c:v>
                </c:pt>
                <c:pt idx="3">
                  <c:v>0</c:v>
                </c:pt>
                <c:pt idx="4">
                  <c:v>5</c:v>
                </c:pt>
                <c:pt idx="5">
                  <c:v>10</c:v>
                </c:pt>
                <c:pt idx="6">
                  <c:v>15</c:v>
                </c:pt>
              </c:numCache>
            </c:numRef>
          </c:cat>
          <c:val>
            <c:numRef>
              <c:f>'Chart (HIDE)'!$D$25:$D$31</c:f>
              <c:numCache>
                <c:formatCode>"$"#,##0.00_);[Red]\("$"#,##0.00\)</c:formatCode>
                <c:ptCount val="7"/>
                <c:pt idx="0">
                  <c:v>1.53</c:v>
                </c:pt>
                <c:pt idx="1">
                  <c:v>1.46</c:v>
                </c:pt>
                <c:pt idx="2">
                  <c:v>1.41</c:v>
                </c:pt>
                <c:pt idx="3">
                  <c:v>1.3553074602314814</c:v>
                </c:pt>
                <c:pt idx="4">
                  <c:v>1.31</c:v>
                </c:pt>
                <c:pt idx="5">
                  <c:v>1.26</c:v>
                </c:pt>
                <c:pt idx="6">
                  <c:v>1.22</c:v>
                </c:pt>
              </c:numCache>
            </c:numRef>
          </c:val>
          <c:smooth val="0"/>
          <c:extLst>
            <c:ext xmlns:c16="http://schemas.microsoft.com/office/drawing/2014/chart" uri="{C3380CC4-5D6E-409C-BE32-E72D297353CC}">
              <c16:uniqueId val="{00000009-CCC7-4CF3-9432-13884A8DF957}"/>
            </c:ext>
          </c:extLst>
        </c:ser>
        <c:dLbls>
          <c:showLegendKey val="0"/>
          <c:showVal val="0"/>
          <c:showCatName val="0"/>
          <c:showSerName val="0"/>
          <c:showPercent val="0"/>
          <c:showBubbleSize val="0"/>
        </c:dLbls>
        <c:smooth val="0"/>
        <c:axId val="207576032"/>
        <c:axId val="1"/>
      </c:lineChart>
      <c:catAx>
        <c:axId val="20757603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CA" sz="1200" b="1" i="0" u="none" strike="noStrike" baseline="0">
                    <a:solidFill>
                      <a:srgbClr val="000000"/>
                    </a:solidFill>
                    <a:latin typeface="Calibri"/>
                    <a:cs typeface="Calibri"/>
                  </a:rPr>
                  <a:t>Change in Number of </a:t>
                </a:r>
              </a:p>
              <a:p>
                <a:pPr>
                  <a:defRPr sz="1100" b="0" i="0" u="none" strike="noStrike" baseline="0">
                    <a:solidFill>
                      <a:srgbClr val="000000"/>
                    </a:solidFill>
                    <a:latin typeface="Calibri"/>
                    <a:ea typeface="Calibri"/>
                    <a:cs typeface="Calibri"/>
                  </a:defRPr>
                </a:pPr>
                <a:r>
                  <a:rPr lang="en-CA" sz="1200" b="1" i="0" u="none" strike="noStrike" baseline="0">
                    <a:solidFill>
                      <a:srgbClr val="000000"/>
                    </a:solidFill>
                    <a:latin typeface="Calibri"/>
                    <a:cs typeface="Calibri"/>
                  </a:rPr>
                  <a:t>Grazing Days</a:t>
                </a:r>
              </a:p>
            </c:rich>
          </c:tx>
          <c:overlay val="0"/>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75000000000000011"/>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576032"/>
        <c:crosses val="autoZero"/>
        <c:crossBetween val="between"/>
      </c:valAx>
      <c:spPr>
        <a:noFill/>
        <a:ln w="25400">
          <a:noFill/>
        </a:ln>
      </c:spPr>
    </c:plotArea>
    <c:legend>
      <c:legendPos val="b"/>
      <c:layout>
        <c:manualLayout>
          <c:xMode val="edge"/>
          <c:yMode val="edge"/>
          <c:x val="1.1279498134482068E-2"/>
          <c:y val="0.85076967943109683"/>
          <c:w val="0.97552205077504328"/>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(HIDE)'!$B$109</c:f>
          <c:strCache>
            <c:ptCount val="1"/>
            <c:pt idx="0">
              <c:v>Impact of Pasture Equity on Payment Per Cow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(HIDE)'!$I$110</c:f>
              <c:strCache>
                <c:ptCount val="1"/>
                <c:pt idx="0">
                  <c:v>Improved Pasture ($1,875/ac)</c:v>
                </c:pt>
              </c:strCache>
            </c:strRef>
          </c:tx>
          <c:marker>
            <c:symbol val="none"/>
          </c:marker>
          <c:dPt>
            <c:idx val="3"/>
            <c:bubble3D val="0"/>
            <c:spPr/>
            <c:extLst>
              <c:ext xmlns:c16="http://schemas.microsoft.com/office/drawing/2014/chart" uri="{C3380CC4-5D6E-409C-BE32-E72D297353CC}">
                <c16:uniqueId val="{00000001-DA7F-45F4-B098-E5B6128335A5}"/>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(HIDE)'!$I$111:$I$121</c:f>
              <c:numCache>
                <c:formatCode>"$"#,##0_);[Red]\("$"#,##0\)</c:formatCode>
                <c:ptCount val="11"/>
                <c:pt idx="0">
                  <c:v>248.60185872544699</c:v>
                </c:pt>
                <c:pt idx="1">
                  <c:v>223.7416728529023</c:v>
                </c:pt>
                <c:pt idx="2">
                  <c:v>198.88148698035758</c:v>
                </c:pt>
                <c:pt idx="3">
                  <c:v>174.02130110781286</c:v>
                </c:pt>
                <c:pt idx="4">
                  <c:v>149.1611152352682</c:v>
                </c:pt>
                <c:pt idx="5">
                  <c:v>124.30092936272349</c:v>
                </c:pt>
                <c:pt idx="6">
                  <c:v>99.440743490178789</c:v>
                </c:pt>
                <c:pt idx="7">
                  <c:v>74.580557617634113</c:v>
                </c:pt>
                <c:pt idx="8">
                  <c:v>49.720371745089388</c:v>
                </c:pt>
                <c:pt idx="9">
                  <c:v>24.860185872544694</c:v>
                </c:pt>
                <c:pt idx="10">
                  <c:v>0</c:v>
                </c:pt>
              </c:numCache>
            </c:numRef>
          </c:val>
          <c:smooth val="0"/>
          <c:extLst>
            <c:ext xmlns:c16="http://schemas.microsoft.com/office/drawing/2014/chart" uri="{C3380CC4-5D6E-409C-BE32-E72D297353CC}">
              <c16:uniqueId val="{00000002-DA7F-45F4-B098-E5B6128335A5}"/>
            </c:ext>
          </c:extLst>
        </c:ser>
        <c:ser>
          <c:idx val="0"/>
          <c:order val="1"/>
          <c:tx>
            <c:strRef>
              <c:f>'Chart (HIDE)'!$J$110</c:f>
              <c:strCache>
                <c:ptCount val="1"/>
                <c:pt idx="0">
                  <c:v>Marginal Pasture  ($844/ac)</c:v>
                </c:pt>
              </c:strCache>
            </c:strRef>
          </c:tx>
          <c:marker>
            <c:symbol val="none"/>
          </c:marker>
          <c:dPt>
            <c:idx val="0"/>
            <c:bubble3D val="0"/>
            <c:extLst>
              <c:ext xmlns:c16="http://schemas.microsoft.com/office/drawing/2014/chart" uri="{C3380CC4-5D6E-409C-BE32-E72D297353CC}">
                <c16:uniqueId val="{00000004-DA7F-45F4-B098-E5B6128335A5}"/>
              </c:ext>
            </c:extLst>
          </c:dPt>
          <c:dPt>
            <c:idx val="1"/>
            <c:bubble3D val="0"/>
            <c:extLst>
              <c:ext xmlns:c16="http://schemas.microsoft.com/office/drawing/2014/chart" uri="{C3380CC4-5D6E-409C-BE32-E72D297353CC}">
                <c16:uniqueId val="{00000006-DA7F-45F4-B098-E5B6128335A5}"/>
              </c:ext>
            </c:extLst>
          </c:dPt>
          <c:dPt>
            <c:idx val="2"/>
            <c:bubble3D val="0"/>
            <c:extLst>
              <c:ext xmlns:c16="http://schemas.microsoft.com/office/drawing/2014/chart" uri="{C3380CC4-5D6E-409C-BE32-E72D297353CC}">
                <c16:uniqueId val="{00000008-DA7F-45F4-B098-E5B6128335A5}"/>
              </c:ext>
            </c:extLst>
          </c:dPt>
          <c:dPt>
            <c:idx val="4"/>
            <c:bubble3D val="0"/>
            <c:extLst>
              <c:ext xmlns:c16="http://schemas.microsoft.com/office/drawing/2014/chart" uri="{C3380CC4-5D6E-409C-BE32-E72D297353CC}">
                <c16:uniqueId val="{0000000A-DA7F-45F4-B098-E5B6128335A5}"/>
              </c:ext>
            </c:extLst>
          </c:dPt>
          <c:dPt>
            <c:idx val="5"/>
            <c:bubble3D val="0"/>
            <c:extLst>
              <c:ext xmlns:c16="http://schemas.microsoft.com/office/drawing/2014/chart" uri="{C3380CC4-5D6E-409C-BE32-E72D297353CC}">
                <c16:uniqueId val="{0000000C-DA7F-45F4-B098-E5B6128335A5}"/>
              </c:ext>
            </c:extLst>
          </c:dPt>
          <c:dPt>
            <c:idx val="6"/>
            <c:bubble3D val="0"/>
            <c:extLst>
              <c:ext xmlns:c16="http://schemas.microsoft.com/office/drawing/2014/chart" uri="{C3380CC4-5D6E-409C-BE32-E72D297353CC}">
                <c16:uniqueId val="{0000000E-DA7F-45F4-B098-E5B6128335A5}"/>
              </c:ext>
            </c:extLst>
          </c:dPt>
          <c:cat>
            <c:numRef>
              <c:f>'Chart (HIDE)'!$B$88:$B$98</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'Chart (HIDE)'!$J$111:$J$121</c:f>
              <c:numCache>
                <c:formatCode>"$"#,##0_);[Red]\("$"#,##0\)</c:formatCode>
                <c:ptCount val="11"/>
                <c:pt idx="0">
                  <c:v>330.01896745803083</c:v>
                </c:pt>
                <c:pt idx="1">
                  <c:v>297.01707071222773</c:v>
                </c:pt>
                <c:pt idx="2">
                  <c:v>264.01517396642464</c:v>
                </c:pt>
                <c:pt idx="3">
                  <c:v>231.01327722062157</c:v>
                </c:pt>
                <c:pt idx="4">
                  <c:v>198.01138047481851</c:v>
                </c:pt>
                <c:pt idx="5">
                  <c:v>165.00948372901541</c:v>
                </c:pt>
                <c:pt idx="6">
                  <c:v>132.00758698321232</c:v>
                </c:pt>
                <c:pt idx="7">
                  <c:v>99.005690237409254</c:v>
                </c:pt>
                <c:pt idx="8">
                  <c:v>66.00379349160616</c:v>
                </c:pt>
                <c:pt idx="9">
                  <c:v>33.00189674580308</c:v>
                </c:pt>
                <c:pt idx="10">
                  <c:v>0</c:v>
                </c:pt>
              </c:numCache>
            </c:numRef>
          </c:val>
          <c:smooth val="0"/>
          <c:extLst>
            <c:ext xmlns:c16="http://schemas.microsoft.com/office/drawing/2014/chart" uri="{C3380CC4-5D6E-409C-BE32-E72D297353CC}">
              <c16:uniqueId val="{0000000F-DA7F-45F4-B098-E5B6128335A5}"/>
            </c:ext>
          </c:extLst>
        </c:ser>
        <c:dLbls>
          <c:showLegendKey val="0"/>
          <c:showVal val="0"/>
          <c:showCatName val="0"/>
          <c:showSerName val="0"/>
          <c:showPercent val="0"/>
          <c:showBubbleSize val="0"/>
        </c:dLbls>
        <c:smooth val="0"/>
        <c:axId val="207096696"/>
        <c:axId val="1"/>
      </c:lineChart>
      <c:catAx>
        <c:axId val="20709669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Pasture Equity</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_);[Red]\(&quot;$&quot;#,##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7096696"/>
        <c:crosses val="autoZero"/>
        <c:crossBetween val="between"/>
      </c:valAx>
      <c:spPr>
        <a:noFill/>
        <a:ln w="25400">
          <a:noFill/>
        </a:ln>
      </c:spPr>
    </c:plotArea>
    <c:legend>
      <c:legendPos val="b"/>
      <c:layout>
        <c:manualLayout>
          <c:xMode val="edge"/>
          <c:yMode val="edge"/>
          <c:x val="0"/>
          <c:y val="0.85076967943109683"/>
          <c:w val="0.99791052177109785"/>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(HIDE)'!$Q$65</c:f>
          <c:strCache>
            <c:ptCount val="1"/>
            <c:pt idx="0">
              <c:v>Impact of Interest Rates on Pasture Cost Per Day (@75% equity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(HIDE)'!$R$67</c:f>
              <c:strCache>
                <c:ptCount val="1"/>
                <c:pt idx="0">
                  <c:v>Improved Pasture (from 6%)</c:v>
                </c:pt>
              </c:strCache>
            </c:strRef>
          </c:tx>
          <c:marker>
            <c:symbol val="none"/>
          </c:marker>
          <c:dPt>
            <c:idx val="3"/>
            <c:marker>
              <c:symbol val="auto"/>
            </c:marker>
            <c:bubble3D val="0"/>
            <c:spPr/>
            <c:extLst>
              <c:ext xmlns:c16="http://schemas.microsoft.com/office/drawing/2014/chart" uri="{C3380CC4-5D6E-409C-BE32-E72D297353CC}">
                <c16:uniqueId val="{00000001-DA0C-42CF-A949-62726E663D62}"/>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0C-42CF-A949-62726E663D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(HIDE)'!$Q$68:$Q$74</c:f>
              <c:numCache>
                <c:formatCode>0.00%</c:formatCode>
                <c:ptCount val="7"/>
                <c:pt idx="0">
                  <c:v>-1.4999999999999999E-2</c:v>
                </c:pt>
                <c:pt idx="1">
                  <c:v>-0.01</c:v>
                </c:pt>
                <c:pt idx="2">
                  <c:v>-5.0000000000000001E-3</c:v>
                </c:pt>
                <c:pt idx="3">
                  <c:v>0</c:v>
                </c:pt>
                <c:pt idx="4">
                  <c:v>5.0000000000000001E-3</c:v>
                </c:pt>
                <c:pt idx="5">
                  <c:v>0.01</c:v>
                </c:pt>
                <c:pt idx="6">
                  <c:v>1.4999999999999999E-2</c:v>
                </c:pt>
              </c:numCache>
            </c:numRef>
          </c:cat>
          <c:val>
            <c:numRef>
              <c:f>'Chart (HIDE)'!$R$68:$R$74</c:f>
              <c:numCache>
                <c:formatCode>"$"#,##0.00_);[Red]\("$"#,##0.00\)</c:formatCode>
                <c:ptCount val="7"/>
                <c:pt idx="0">
                  <c:v>1.3494100000000002</c:v>
                </c:pt>
                <c:pt idx="1">
                  <c:v>1.3694100000000002</c:v>
                </c:pt>
                <c:pt idx="2">
                  <c:v>1.3894100000000003</c:v>
                </c:pt>
                <c:pt idx="3">
                  <c:v>1.4094100000000003</c:v>
                </c:pt>
                <c:pt idx="4">
                  <c:v>1.4294100000000003</c:v>
                </c:pt>
                <c:pt idx="5">
                  <c:v>1.4594100000000003</c:v>
                </c:pt>
                <c:pt idx="6">
                  <c:v>1.4794100000000003</c:v>
                </c:pt>
              </c:numCache>
            </c:numRef>
          </c:val>
          <c:smooth val="0"/>
          <c:extLst>
            <c:ext xmlns:c16="http://schemas.microsoft.com/office/drawing/2014/chart" uri="{C3380CC4-5D6E-409C-BE32-E72D297353CC}">
              <c16:uniqueId val="{00000002-DA0C-42CF-A949-62726E663D62}"/>
            </c:ext>
          </c:extLst>
        </c:ser>
        <c:ser>
          <c:idx val="0"/>
          <c:order val="1"/>
          <c:tx>
            <c:strRef>
              <c:f>'Chart (HIDE)'!$S$67</c:f>
              <c:strCache>
                <c:ptCount val="1"/>
                <c:pt idx="0">
                  <c:v>Marginal Pasture (from 6%)</c:v>
                </c:pt>
              </c:strCache>
            </c:strRef>
          </c:tx>
          <c:dPt>
            <c:idx val="0"/>
            <c:marker>
              <c:symbol val="none"/>
            </c:marker>
            <c:bubble3D val="0"/>
            <c:extLst>
              <c:ext xmlns:c16="http://schemas.microsoft.com/office/drawing/2014/chart" uri="{C3380CC4-5D6E-409C-BE32-E72D297353CC}">
                <c16:uniqueId val="{00000003-DA0C-42CF-A949-62726E663D62}"/>
              </c:ext>
            </c:extLst>
          </c:dPt>
          <c:dPt>
            <c:idx val="1"/>
            <c:marker>
              <c:symbol val="none"/>
            </c:marker>
            <c:bubble3D val="0"/>
            <c:extLst>
              <c:ext xmlns:c16="http://schemas.microsoft.com/office/drawing/2014/chart" uri="{C3380CC4-5D6E-409C-BE32-E72D297353CC}">
                <c16:uniqueId val="{00000004-DA0C-42CF-A949-62726E663D62}"/>
              </c:ext>
            </c:extLst>
          </c:dPt>
          <c:dPt>
            <c:idx val="2"/>
            <c:marker>
              <c:symbol val="none"/>
            </c:marker>
            <c:bubble3D val="0"/>
            <c:extLst>
              <c:ext xmlns:c16="http://schemas.microsoft.com/office/drawing/2014/chart" uri="{C3380CC4-5D6E-409C-BE32-E72D297353CC}">
                <c16:uniqueId val="{00000005-DA0C-42CF-A949-62726E663D62}"/>
              </c:ext>
            </c:extLst>
          </c:dPt>
          <c:dPt>
            <c:idx val="4"/>
            <c:marker>
              <c:symbol val="none"/>
            </c:marker>
            <c:bubble3D val="0"/>
            <c:extLst>
              <c:ext xmlns:c16="http://schemas.microsoft.com/office/drawing/2014/chart" uri="{C3380CC4-5D6E-409C-BE32-E72D297353CC}">
                <c16:uniqueId val="{00000006-DA0C-42CF-A949-62726E663D62}"/>
              </c:ext>
            </c:extLst>
          </c:dPt>
          <c:dPt>
            <c:idx val="5"/>
            <c:marker>
              <c:symbol val="none"/>
            </c:marker>
            <c:bubble3D val="0"/>
            <c:extLst>
              <c:ext xmlns:c16="http://schemas.microsoft.com/office/drawing/2014/chart" uri="{C3380CC4-5D6E-409C-BE32-E72D297353CC}">
                <c16:uniqueId val="{00000007-DA0C-42CF-A949-62726E663D62}"/>
              </c:ext>
            </c:extLst>
          </c:dPt>
          <c:dPt>
            <c:idx val="6"/>
            <c:marker>
              <c:symbol val="none"/>
            </c:marker>
            <c:bubble3D val="0"/>
            <c:extLst>
              <c:ext xmlns:c16="http://schemas.microsoft.com/office/drawing/2014/chart" uri="{C3380CC4-5D6E-409C-BE32-E72D297353CC}">
                <c16:uniqueId val="{00000008-DA0C-42CF-A949-62726E663D62}"/>
              </c:ext>
            </c:extLst>
          </c:dPt>
          <c:dLbls>
            <c:dLbl>
              <c:idx val="0"/>
              <c:delete val="1"/>
              <c:extLst>
                <c:ext xmlns:c15="http://schemas.microsoft.com/office/drawing/2012/chart" uri="{CE6537A1-D6FC-4f65-9D91-7224C49458BB}"/>
                <c:ext xmlns:c16="http://schemas.microsoft.com/office/drawing/2014/chart" uri="{C3380CC4-5D6E-409C-BE32-E72D297353CC}">
                  <c16:uniqueId val="{00000003-DA0C-42CF-A949-62726E663D62}"/>
                </c:ext>
              </c:extLst>
            </c:dLbl>
            <c:dLbl>
              <c:idx val="1"/>
              <c:delete val="1"/>
              <c:extLst>
                <c:ext xmlns:c15="http://schemas.microsoft.com/office/drawing/2012/chart" uri="{CE6537A1-D6FC-4f65-9D91-7224C49458BB}"/>
                <c:ext xmlns:c16="http://schemas.microsoft.com/office/drawing/2014/chart" uri="{C3380CC4-5D6E-409C-BE32-E72D297353CC}">
                  <c16:uniqueId val="{00000004-DA0C-42CF-A949-62726E663D62}"/>
                </c:ext>
              </c:extLst>
            </c:dLbl>
            <c:dLbl>
              <c:idx val="2"/>
              <c:delete val="1"/>
              <c:extLst>
                <c:ext xmlns:c15="http://schemas.microsoft.com/office/drawing/2012/chart" uri="{CE6537A1-D6FC-4f65-9D91-7224C49458BB}"/>
                <c:ext xmlns:c16="http://schemas.microsoft.com/office/drawing/2014/chart" uri="{C3380CC4-5D6E-409C-BE32-E72D297353CC}">
                  <c16:uniqueId val="{00000005-DA0C-42CF-A949-62726E663D62}"/>
                </c:ext>
              </c:extLst>
            </c:dLbl>
            <c:dLbl>
              <c:idx val="4"/>
              <c:delete val="1"/>
              <c:extLst>
                <c:ext xmlns:c15="http://schemas.microsoft.com/office/drawing/2012/chart" uri="{CE6537A1-D6FC-4f65-9D91-7224C49458BB}"/>
                <c:ext xmlns:c16="http://schemas.microsoft.com/office/drawing/2014/chart" uri="{C3380CC4-5D6E-409C-BE32-E72D297353CC}">
                  <c16:uniqueId val="{00000006-DA0C-42CF-A949-62726E663D62}"/>
                </c:ext>
              </c:extLst>
            </c:dLbl>
            <c:dLbl>
              <c:idx val="5"/>
              <c:delete val="1"/>
              <c:extLst>
                <c:ext xmlns:c15="http://schemas.microsoft.com/office/drawing/2012/chart" uri="{CE6537A1-D6FC-4f65-9D91-7224C49458BB}"/>
                <c:ext xmlns:c16="http://schemas.microsoft.com/office/drawing/2014/chart" uri="{C3380CC4-5D6E-409C-BE32-E72D297353CC}">
                  <c16:uniqueId val="{00000007-DA0C-42CF-A949-62726E663D62}"/>
                </c:ext>
              </c:extLst>
            </c:dLbl>
            <c:dLbl>
              <c:idx val="6"/>
              <c:delete val="1"/>
              <c:extLst>
                <c:ext xmlns:c15="http://schemas.microsoft.com/office/drawing/2012/chart" uri="{CE6537A1-D6FC-4f65-9D91-7224C49458BB}"/>
                <c:ext xmlns:c16="http://schemas.microsoft.com/office/drawing/2014/chart" uri="{C3380CC4-5D6E-409C-BE32-E72D297353CC}">
                  <c16:uniqueId val="{00000008-DA0C-42CF-A949-62726E663D6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(HIDE)'!$Q$68:$Q$74</c:f>
              <c:numCache>
                <c:formatCode>0.00%</c:formatCode>
                <c:ptCount val="7"/>
                <c:pt idx="0">
                  <c:v>-1.4999999999999999E-2</c:v>
                </c:pt>
                <c:pt idx="1">
                  <c:v>-0.01</c:v>
                </c:pt>
                <c:pt idx="2">
                  <c:v>-5.0000000000000001E-3</c:v>
                </c:pt>
                <c:pt idx="3">
                  <c:v>0</c:v>
                </c:pt>
                <c:pt idx="4">
                  <c:v>5.0000000000000001E-3</c:v>
                </c:pt>
                <c:pt idx="5">
                  <c:v>0.01</c:v>
                </c:pt>
                <c:pt idx="6">
                  <c:v>1.4999999999999999E-2</c:v>
                </c:pt>
              </c:numCache>
            </c:numRef>
          </c:cat>
          <c:val>
            <c:numRef>
              <c:f>'Chart (HIDE)'!$S$68:$S$74</c:f>
              <c:numCache>
                <c:formatCode>"$"#,##0.00_);[Red]\("$"#,##0.00\)</c:formatCode>
                <c:ptCount val="7"/>
                <c:pt idx="0">
                  <c:v>1.2753074602314816</c:v>
                </c:pt>
                <c:pt idx="1">
                  <c:v>1.2953074602314816</c:v>
                </c:pt>
                <c:pt idx="2">
                  <c:v>1.3253074602314814</c:v>
                </c:pt>
                <c:pt idx="3">
                  <c:v>1.3553074602314814</c:v>
                </c:pt>
                <c:pt idx="4">
                  <c:v>1.3853074602314814</c:v>
                </c:pt>
                <c:pt idx="5">
                  <c:v>1.4153074602314815</c:v>
                </c:pt>
                <c:pt idx="6">
                  <c:v>1.4453074602314815</c:v>
                </c:pt>
              </c:numCache>
            </c:numRef>
          </c:val>
          <c:smooth val="0"/>
          <c:extLst>
            <c:ext xmlns:c16="http://schemas.microsoft.com/office/drawing/2014/chart" uri="{C3380CC4-5D6E-409C-BE32-E72D297353CC}">
              <c16:uniqueId val="{00000009-DA0C-42CF-A949-62726E663D62}"/>
            </c:ext>
          </c:extLst>
        </c:ser>
        <c:dLbls>
          <c:showLegendKey val="0"/>
          <c:showVal val="0"/>
          <c:showCatName val="0"/>
          <c:showSerName val="0"/>
          <c:showPercent val="0"/>
          <c:showBubbleSize val="0"/>
        </c:dLbls>
        <c:smooth val="0"/>
        <c:axId val="204950624"/>
        <c:axId val="1"/>
      </c:lineChart>
      <c:catAx>
        <c:axId val="20495062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Interest Rate</a:t>
                </a:r>
              </a:p>
            </c:rich>
          </c:tx>
          <c:overlay val="0"/>
        </c:title>
        <c:numFmt formatCode="0.0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85000000000000009"/>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4950624"/>
        <c:crosses val="autoZero"/>
        <c:crossBetween val="between"/>
      </c:valAx>
      <c:spPr>
        <a:noFill/>
        <a:ln w="25400">
          <a:noFill/>
        </a:ln>
      </c:spPr>
    </c:plotArea>
    <c:legend>
      <c:legendPos val="b"/>
      <c:layout>
        <c:manualLayout>
          <c:xMode val="edge"/>
          <c:yMode val="edge"/>
          <c:x val="0"/>
          <c:y val="0.85076967943109683"/>
          <c:w val="0.99791053777852234"/>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(HIDE)'!$B$43</c:f>
          <c:strCache>
            <c:ptCount val="1"/>
            <c:pt idx="0">
              <c:v>Impact of Land Value on Pasture Cost Per Day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18982269503546098"/>
          <c:w val="0.75057622384357914"/>
          <c:h val="0.51241358128106329"/>
        </c:manualLayout>
      </c:layout>
      <c:lineChart>
        <c:grouping val="standard"/>
        <c:varyColors val="0"/>
        <c:ser>
          <c:idx val="1"/>
          <c:order val="0"/>
          <c:tx>
            <c:strRef>
              <c:f>'Chart (HIDE)'!$C$45</c:f>
              <c:strCache>
                <c:ptCount val="1"/>
                <c:pt idx="0">
                  <c:v>Improved Pasture (from $1,875/ac)</c:v>
                </c:pt>
              </c:strCache>
            </c:strRef>
          </c:tx>
          <c:marker>
            <c:symbol val="none"/>
          </c:marker>
          <c:dPt>
            <c:idx val="3"/>
            <c:marker>
              <c:symbol val="auto"/>
            </c:marker>
            <c:bubble3D val="0"/>
            <c:spPr/>
            <c:extLst>
              <c:ext xmlns:c16="http://schemas.microsoft.com/office/drawing/2014/chart" uri="{C3380CC4-5D6E-409C-BE32-E72D297353CC}">
                <c16:uniqueId val="{00000001-C87D-45D9-B6B8-898B15DB6C25}"/>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7D-45D9-B6B8-898B15DB6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(HIDE)'!$B$46:$B$52</c:f>
              <c:numCache>
                <c:formatCode>"$"#,##0</c:formatCode>
                <c:ptCount val="7"/>
                <c:pt idx="0">
                  <c:v>-300</c:v>
                </c:pt>
                <c:pt idx="1">
                  <c:v>-200</c:v>
                </c:pt>
                <c:pt idx="2">
                  <c:v>-100</c:v>
                </c:pt>
                <c:pt idx="3">
                  <c:v>0</c:v>
                </c:pt>
                <c:pt idx="4">
                  <c:v>100</c:v>
                </c:pt>
                <c:pt idx="5">
                  <c:v>200</c:v>
                </c:pt>
                <c:pt idx="6">
                  <c:v>300</c:v>
                </c:pt>
              </c:numCache>
            </c:numRef>
          </c:cat>
          <c:val>
            <c:numRef>
              <c:f>'Chart (HIDE)'!$C$46:$C$52</c:f>
              <c:numCache>
                <c:formatCode>"$"#,##0.00_);[Red]\("$"#,##0.00\)</c:formatCode>
                <c:ptCount val="7"/>
                <c:pt idx="0">
                  <c:v>1.3394100000000002</c:v>
                </c:pt>
                <c:pt idx="1">
                  <c:v>1.3594100000000002</c:v>
                </c:pt>
                <c:pt idx="2">
                  <c:v>1.3894100000000003</c:v>
                </c:pt>
                <c:pt idx="3">
                  <c:v>1.4094100000000003</c:v>
                </c:pt>
                <c:pt idx="4">
                  <c:v>1.4294100000000003</c:v>
                </c:pt>
                <c:pt idx="5">
                  <c:v>1.4594100000000003</c:v>
                </c:pt>
                <c:pt idx="6">
                  <c:v>1.4794100000000003</c:v>
                </c:pt>
              </c:numCache>
            </c:numRef>
          </c:val>
          <c:smooth val="0"/>
          <c:extLst>
            <c:ext xmlns:c16="http://schemas.microsoft.com/office/drawing/2014/chart" uri="{C3380CC4-5D6E-409C-BE32-E72D297353CC}">
              <c16:uniqueId val="{00000002-C87D-45D9-B6B8-898B15DB6C25}"/>
            </c:ext>
          </c:extLst>
        </c:ser>
        <c:ser>
          <c:idx val="0"/>
          <c:order val="1"/>
          <c:tx>
            <c:strRef>
              <c:f>'Chart (HIDE)'!$D$45</c:f>
              <c:strCache>
                <c:ptCount val="1"/>
                <c:pt idx="0">
                  <c:v>Marginal Pasture (from $844/ac)</c:v>
                </c:pt>
              </c:strCache>
            </c:strRef>
          </c:tx>
          <c:dPt>
            <c:idx val="0"/>
            <c:marker>
              <c:symbol val="none"/>
            </c:marker>
            <c:bubble3D val="0"/>
            <c:extLst>
              <c:ext xmlns:c16="http://schemas.microsoft.com/office/drawing/2014/chart" uri="{C3380CC4-5D6E-409C-BE32-E72D297353CC}">
                <c16:uniqueId val="{00000003-C87D-45D9-B6B8-898B15DB6C25}"/>
              </c:ext>
            </c:extLst>
          </c:dPt>
          <c:dPt>
            <c:idx val="1"/>
            <c:marker>
              <c:symbol val="none"/>
            </c:marker>
            <c:bubble3D val="0"/>
            <c:extLst>
              <c:ext xmlns:c16="http://schemas.microsoft.com/office/drawing/2014/chart" uri="{C3380CC4-5D6E-409C-BE32-E72D297353CC}">
                <c16:uniqueId val="{00000004-C87D-45D9-B6B8-898B15DB6C25}"/>
              </c:ext>
            </c:extLst>
          </c:dPt>
          <c:dPt>
            <c:idx val="2"/>
            <c:marker>
              <c:symbol val="none"/>
            </c:marker>
            <c:bubble3D val="0"/>
            <c:extLst>
              <c:ext xmlns:c16="http://schemas.microsoft.com/office/drawing/2014/chart" uri="{C3380CC4-5D6E-409C-BE32-E72D297353CC}">
                <c16:uniqueId val="{00000005-C87D-45D9-B6B8-898B15DB6C25}"/>
              </c:ext>
            </c:extLst>
          </c:dPt>
          <c:dPt>
            <c:idx val="4"/>
            <c:marker>
              <c:symbol val="none"/>
            </c:marker>
            <c:bubble3D val="0"/>
            <c:extLst>
              <c:ext xmlns:c16="http://schemas.microsoft.com/office/drawing/2014/chart" uri="{C3380CC4-5D6E-409C-BE32-E72D297353CC}">
                <c16:uniqueId val="{00000006-C87D-45D9-B6B8-898B15DB6C25}"/>
              </c:ext>
            </c:extLst>
          </c:dPt>
          <c:dPt>
            <c:idx val="5"/>
            <c:marker>
              <c:symbol val="none"/>
            </c:marker>
            <c:bubble3D val="0"/>
            <c:extLst>
              <c:ext xmlns:c16="http://schemas.microsoft.com/office/drawing/2014/chart" uri="{C3380CC4-5D6E-409C-BE32-E72D297353CC}">
                <c16:uniqueId val="{00000007-C87D-45D9-B6B8-898B15DB6C25}"/>
              </c:ext>
            </c:extLst>
          </c:dPt>
          <c:dPt>
            <c:idx val="6"/>
            <c:marker>
              <c:symbol val="none"/>
            </c:marker>
            <c:bubble3D val="0"/>
            <c:extLst>
              <c:ext xmlns:c16="http://schemas.microsoft.com/office/drawing/2014/chart" uri="{C3380CC4-5D6E-409C-BE32-E72D297353CC}">
                <c16:uniqueId val="{00000008-C87D-45D9-B6B8-898B15DB6C25}"/>
              </c:ext>
            </c:extLst>
          </c:dPt>
          <c:dLbls>
            <c:dLbl>
              <c:idx val="0"/>
              <c:delete val="1"/>
              <c:extLst>
                <c:ext xmlns:c15="http://schemas.microsoft.com/office/drawing/2012/chart" uri="{CE6537A1-D6FC-4f65-9D91-7224C49458BB}"/>
                <c:ext xmlns:c16="http://schemas.microsoft.com/office/drawing/2014/chart" uri="{C3380CC4-5D6E-409C-BE32-E72D297353CC}">
                  <c16:uniqueId val="{00000003-C87D-45D9-B6B8-898B15DB6C25}"/>
                </c:ext>
              </c:extLst>
            </c:dLbl>
            <c:dLbl>
              <c:idx val="1"/>
              <c:delete val="1"/>
              <c:extLst>
                <c:ext xmlns:c15="http://schemas.microsoft.com/office/drawing/2012/chart" uri="{CE6537A1-D6FC-4f65-9D91-7224C49458BB}"/>
                <c:ext xmlns:c16="http://schemas.microsoft.com/office/drawing/2014/chart" uri="{C3380CC4-5D6E-409C-BE32-E72D297353CC}">
                  <c16:uniqueId val="{00000004-C87D-45D9-B6B8-898B15DB6C25}"/>
                </c:ext>
              </c:extLst>
            </c:dLbl>
            <c:dLbl>
              <c:idx val="2"/>
              <c:delete val="1"/>
              <c:extLst>
                <c:ext xmlns:c15="http://schemas.microsoft.com/office/drawing/2012/chart" uri="{CE6537A1-D6FC-4f65-9D91-7224C49458BB}"/>
                <c:ext xmlns:c16="http://schemas.microsoft.com/office/drawing/2014/chart" uri="{C3380CC4-5D6E-409C-BE32-E72D297353CC}">
                  <c16:uniqueId val="{00000005-C87D-45D9-B6B8-898B15DB6C25}"/>
                </c:ext>
              </c:extLst>
            </c:dLbl>
            <c:dLbl>
              <c:idx val="4"/>
              <c:delete val="1"/>
              <c:extLst>
                <c:ext xmlns:c15="http://schemas.microsoft.com/office/drawing/2012/chart" uri="{CE6537A1-D6FC-4f65-9D91-7224C49458BB}"/>
                <c:ext xmlns:c16="http://schemas.microsoft.com/office/drawing/2014/chart" uri="{C3380CC4-5D6E-409C-BE32-E72D297353CC}">
                  <c16:uniqueId val="{00000006-C87D-45D9-B6B8-898B15DB6C25}"/>
                </c:ext>
              </c:extLst>
            </c:dLbl>
            <c:dLbl>
              <c:idx val="5"/>
              <c:delete val="1"/>
              <c:extLst>
                <c:ext xmlns:c15="http://schemas.microsoft.com/office/drawing/2012/chart" uri="{CE6537A1-D6FC-4f65-9D91-7224C49458BB}"/>
                <c:ext xmlns:c16="http://schemas.microsoft.com/office/drawing/2014/chart" uri="{C3380CC4-5D6E-409C-BE32-E72D297353CC}">
                  <c16:uniqueId val="{00000007-C87D-45D9-B6B8-898B15DB6C25}"/>
                </c:ext>
              </c:extLst>
            </c:dLbl>
            <c:dLbl>
              <c:idx val="6"/>
              <c:delete val="1"/>
              <c:extLst>
                <c:ext xmlns:c15="http://schemas.microsoft.com/office/drawing/2012/chart" uri="{CE6537A1-D6FC-4f65-9D91-7224C49458BB}"/>
                <c:ext xmlns:c16="http://schemas.microsoft.com/office/drawing/2014/chart" uri="{C3380CC4-5D6E-409C-BE32-E72D297353CC}">
                  <c16:uniqueId val="{00000008-C87D-45D9-B6B8-898B15DB6C2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(HIDE)'!$B$46:$B$52</c:f>
              <c:numCache>
                <c:formatCode>"$"#,##0</c:formatCode>
                <c:ptCount val="7"/>
                <c:pt idx="0">
                  <c:v>-300</c:v>
                </c:pt>
                <c:pt idx="1">
                  <c:v>-200</c:v>
                </c:pt>
                <c:pt idx="2">
                  <c:v>-100</c:v>
                </c:pt>
                <c:pt idx="3">
                  <c:v>0</c:v>
                </c:pt>
                <c:pt idx="4">
                  <c:v>100</c:v>
                </c:pt>
                <c:pt idx="5">
                  <c:v>200</c:v>
                </c:pt>
                <c:pt idx="6">
                  <c:v>300</c:v>
                </c:pt>
              </c:numCache>
            </c:numRef>
          </c:cat>
          <c:val>
            <c:numRef>
              <c:f>'Chart (HIDE)'!$D$46:$D$52</c:f>
              <c:numCache>
                <c:formatCode>"$"#,##0.00_);[Red]\("$"#,##0.00\)</c:formatCode>
                <c:ptCount val="7"/>
                <c:pt idx="0">
                  <c:v>1.1353074602314814</c:v>
                </c:pt>
                <c:pt idx="1">
                  <c:v>1.2153074602314815</c:v>
                </c:pt>
                <c:pt idx="2">
                  <c:v>1.2853074602314813</c:v>
                </c:pt>
                <c:pt idx="3">
                  <c:v>1.3553074602314814</c:v>
                </c:pt>
                <c:pt idx="4">
                  <c:v>1.4253074602314815</c:v>
                </c:pt>
                <c:pt idx="5">
                  <c:v>1.5053074602314815</c:v>
                </c:pt>
                <c:pt idx="6">
                  <c:v>1.5753074602314814</c:v>
                </c:pt>
              </c:numCache>
            </c:numRef>
          </c:val>
          <c:smooth val="0"/>
          <c:extLst>
            <c:ext xmlns:c16="http://schemas.microsoft.com/office/drawing/2014/chart" uri="{C3380CC4-5D6E-409C-BE32-E72D297353CC}">
              <c16:uniqueId val="{00000009-C87D-45D9-B6B8-898B15DB6C25}"/>
            </c:ext>
          </c:extLst>
        </c:ser>
        <c:dLbls>
          <c:showLegendKey val="0"/>
          <c:showVal val="0"/>
          <c:showCatName val="0"/>
          <c:showSerName val="0"/>
          <c:showPercent val="0"/>
          <c:showBubbleSize val="0"/>
        </c:dLbls>
        <c:smooth val="0"/>
        <c:axId val="206767536"/>
        <c:axId val="1"/>
      </c:lineChart>
      <c:catAx>
        <c:axId val="20676753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Land Value per Acre</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70000000000000007"/>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6767536"/>
        <c:crosses val="autoZero"/>
        <c:crossBetween val="between"/>
      </c:valAx>
      <c:spPr>
        <a:noFill/>
        <a:ln w="25400">
          <a:noFill/>
        </a:ln>
      </c:spPr>
    </c:plotArea>
    <c:legend>
      <c:legendPos val="b"/>
      <c:layout>
        <c:manualLayout>
          <c:xMode val="edge"/>
          <c:yMode val="edge"/>
          <c:x val="0"/>
          <c:y val="0.85076967473306675"/>
          <c:w val="0.99040481575023243"/>
          <c:h val="0.10221912260967379"/>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(HIDE)'!$B$65</c:f>
          <c:strCache>
            <c:ptCount val="1"/>
            <c:pt idx="0">
              <c:v>Impact of Owned Pasture Equity on Pasture Cost Per Day (@6%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(HIDE)'!$C$67</c:f>
              <c:strCache>
                <c:ptCount val="1"/>
                <c:pt idx="0">
                  <c:v>Improved Pasture (from 75% equity)</c:v>
                </c:pt>
              </c:strCache>
            </c:strRef>
          </c:tx>
          <c:marker>
            <c:symbol val="none"/>
          </c:marker>
          <c:dPt>
            <c:idx val="3"/>
            <c:marker>
              <c:symbol val="auto"/>
            </c:marker>
            <c:bubble3D val="0"/>
            <c:spPr/>
            <c:extLst>
              <c:ext xmlns:c16="http://schemas.microsoft.com/office/drawing/2014/chart" uri="{C3380CC4-5D6E-409C-BE32-E72D297353CC}">
                <c16:uniqueId val="{00000001-B6D0-424C-96CD-5E7698C5E666}"/>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D0-424C-96CD-5E7698C5E6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(HIDE)'!$B$68:$B$74</c:f>
              <c:numCache>
                <c:formatCode>0%</c:formatCode>
                <c:ptCount val="7"/>
                <c:pt idx="0">
                  <c:v>-0.15000000000000002</c:v>
                </c:pt>
                <c:pt idx="1">
                  <c:v>-0.1</c:v>
                </c:pt>
                <c:pt idx="2">
                  <c:v>-0.05</c:v>
                </c:pt>
                <c:pt idx="3">
                  <c:v>0</c:v>
                </c:pt>
                <c:pt idx="4">
                  <c:v>0.05</c:v>
                </c:pt>
                <c:pt idx="5">
                  <c:v>0.1</c:v>
                </c:pt>
                <c:pt idx="6">
                  <c:v>0.15000000000000002</c:v>
                </c:pt>
              </c:numCache>
            </c:numRef>
          </c:cat>
          <c:val>
            <c:numRef>
              <c:f>'Chart (HIDE)'!$C$68:$C$74</c:f>
              <c:numCache>
                <c:formatCode>"$"#,##0.00_);[Red]\("$"#,##0.00\)</c:formatCode>
                <c:ptCount val="7"/>
                <c:pt idx="0">
                  <c:v>1.6894100000000003</c:v>
                </c:pt>
                <c:pt idx="1">
                  <c:v>1.5894100000000002</c:v>
                </c:pt>
                <c:pt idx="2">
                  <c:v>1.4994100000000004</c:v>
                </c:pt>
                <c:pt idx="3">
                  <c:v>1.4094100000000003</c:v>
                </c:pt>
                <c:pt idx="4">
                  <c:v>1.3194100000000002</c:v>
                </c:pt>
                <c:pt idx="5">
                  <c:v>1.2294100000000003</c:v>
                </c:pt>
                <c:pt idx="6">
                  <c:v>1.1294100000000002</c:v>
                </c:pt>
              </c:numCache>
            </c:numRef>
          </c:val>
          <c:smooth val="0"/>
          <c:extLst>
            <c:ext xmlns:c16="http://schemas.microsoft.com/office/drawing/2014/chart" uri="{C3380CC4-5D6E-409C-BE32-E72D297353CC}">
              <c16:uniqueId val="{00000002-B6D0-424C-96CD-5E7698C5E666}"/>
            </c:ext>
          </c:extLst>
        </c:ser>
        <c:ser>
          <c:idx val="0"/>
          <c:order val="1"/>
          <c:tx>
            <c:strRef>
              <c:f>'Chart (HIDE)'!$D$67</c:f>
              <c:strCache>
                <c:ptCount val="1"/>
                <c:pt idx="0">
                  <c:v>Marginal Pasture (from 75% equity)</c:v>
                </c:pt>
              </c:strCache>
            </c:strRef>
          </c:tx>
          <c:dPt>
            <c:idx val="0"/>
            <c:marker>
              <c:symbol val="none"/>
            </c:marker>
            <c:bubble3D val="0"/>
            <c:extLst>
              <c:ext xmlns:c16="http://schemas.microsoft.com/office/drawing/2014/chart" uri="{C3380CC4-5D6E-409C-BE32-E72D297353CC}">
                <c16:uniqueId val="{00000003-B6D0-424C-96CD-5E7698C5E666}"/>
              </c:ext>
            </c:extLst>
          </c:dPt>
          <c:dPt>
            <c:idx val="1"/>
            <c:marker>
              <c:symbol val="none"/>
            </c:marker>
            <c:bubble3D val="0"/>
            <c:extLst>
              <c:ext xmlns:c16="http://schemas.microsoft.com/office/drawing/2014/chart" uri="{C3380CC4-5D6E-409C-BE32-E72D297353CC}">
                <c16:uniqueId val="{00000004-B6D0-424C-96CD-5E7698C5E666}"/>
              </c:ext>
            </c:extLst>
          </c:dPt>
          <c:dPt>
            <c:idx val="2"/>
            <c:marker>
              <c:symbol val="none"/>
            </c:marker>
            <c:bubble3D val="0"/>
            <c:extLst>
              <c:ext xmlns:c16="http://schemas.microsoft.com/office/drawing/2014/chart" uri="{C3380CC4-5D6E-409C-BE32-E72D297353CC}">
                <c16:uniqueId val="{00000005-B6D0-424C-96CD-5E7698C5E666}"/>
              </c:ext>
            </c:extLst>
          </c:dPt>
          <c:dPt>
            <c:idx val="4"/>
            <c:marker>
              <c:symbol val="none"/>
            </c:marker>
            <c:bubble3D val="0"/>
            <c:extLst>
              <c:ext xmlns:c16="http://schemas.microsoft.com/office/drawing/2014/chart" uri="{C3380CC4-5D6E-409C-BE32-E72D297353CC}">
                <c16:uniqueId val="{00000006-B6D0-424C-96CD-5E7698C5E666}"/>
              </c:ext>
            </c:extLst>
          </c:dPt>
          <c:dPt>
            <c:idx val="5"/>
            <c:marker>
              <c:symbol val="none"/>
            </c:marker>
            <c:bubble3D val="0"/>
            <c:extLst>
              <c:ext xmlns:c16="http://schemas.microsoft.com/office/drawing/2014/chart" uri="{C3380CC4-5D6E-409C-BE32-E72D297353CC}">
                <c16:uniqueId val="{00000007-B6D0-424C-96CD-5E7698C5E666}"/>
              </c:ext>
            </c:extLst>
          </c:dPt>
          <c:dPt>
            <c:idx val="6"/>
            <c:marker>
              <c:symbol val="none"/>
            </c:marker>
            <c:bubble3D val="0"/>
            <c:extLst>
              <c:ext xmlns:c16="http://schemas.microsoft.com/office/drawing/2014/chart" uri="{C3380CC4-5D6E-409C-BE32-E72D297353CC}">
                <c16:uniqueId val="{00000008-B6D0-424C-96CD-5E7698C5E666}"/>
              </c:ext>
            </c:extLst>
          </c:dPt>
          <c:dLbls>
            <c:dLbl>
              <c:idx val="0"/>
              <c:delete val="1"/>
              <c:extLst>
                <c:ext xmlns:c15="http://schemas.microsoft.com/office/drawing/2012/chart" uri="{CE6537A1-D6FC-4f65-9D91-7224C49458BB}"/>
                <c:ext xmlns:c16="http://schemas.microsoft.com/office/drawing/2014/chart" uri="{C3380CC4-5D6E-409C-BE32-E72D297353CC}">
                  <c16:uniqueId val="{00000003-B6D0-424C-96CD-5E7698C5E666}"/>
                </c:ext>
              </c:extLst>
            </c:dLbl>
            <c:dLbl>
              <c:idx val="1"/>
              <c:delete val="1"/>
              <c:extLst>
                <c:ext xmlns:c15="http://schemas.microsoft.com/office/drawing/2012/chart" uri="{CE6537A1-D6FC-4f65-9D91-7224C49458BB}"/>
                <c:ext xmlns:c16="http://schemas.microsoft.com/office/drawing/2014/chart" uri="{C3380CC4-5D6E-409C-BE32-E72D297353CC}">
                  <c16:uniqueId val="{00000004-B6D0-424C-96CD-5E7698C5E666}"/>
                </c:ext>
              </c:extLst>
            </c:dLbl>
            <c:dLbl>
              <c:idx val="2"/>
              <c:delete val="1"/>
              <c:extLst>
                <c:ext xmlns:c15="http://schemas.microsoft.com/office/drawing/2012/chart" uri="{CE6537A1-D6FC-4f65-9D91-7224C49458BB}"/>
                <c:ext xmlns:c16="http://schemas.microsoft.com/office/drawing/2014/chart" uri="{C3380CC4-5D6E-409C-BE32-E72D297353CC}">
                  <c16:uniqueId val="{00000005-B6D0-424C-96CD-5E7698C5E666}"/>
                </c:ext>
              </c:extLst>
            </c:dLbl>
            <c:dLbl>
              <c:idx val="4"/>
              <c:delete val="1"/>
              <c:extLst>
                <c:ext xmlns:c15="http://schemas.microsoft.com/office/drawing/2012/chart" uri="{CE6537A1-D6FC-4f65-9D91-7224C49458BB}"/>
                <c:ext xmlns:c16="http://schemas.microsoft.com/office/drawing/2014/chart" uri="{C3380CC4-5D6E-409C-BE32-E72D297353CC}">
                  <c16:uniqueId val="{00000006-B6D0-424C-96CD-5E7698C5E666}"/>
                </c:ext>
              </c:extLst>
            </c:dLbl>
            <c:dLbl>
              <c:idx val="5"/>
              <c:delete val="1"/>
              <c:extLst>
                <c:ext xmlns:c15="http://schemas.microsoft.com/office/drawing/2012/chart" uri="{CE6537A1-D6FC-4f65-9D91-7224C49458BB}"/>
                <c:ext xmlns:c16="http://schemas.microsoft.com/office/drawing/2014/chart" uri="{C3380CC4-5D6E-409C-BE32-E72D297353CC}">
                  <c16:uniqueId val="{00000007-B6D0-424C-96CD-5E7698C5E666}"/>
                </c:ext>
              </c:extLst>
            </c:dLbl>
            <c:dLbl>
              <c:idx val="6"/>
              <c:delete val="1"/>
              <c:extLst>
                <c:ext xmlns:c15="http://schemas.microsoft.com/office/drawing/2012/chart" uri="{CE6537A1-D6FC-4f65-9D91-7224C49458BB}"/>
                <c:ext xmlns:c16="http://schemas.microsoft.com/office/drawing/2014/chart" uri="{C3380CC4-5D6E-409C-BE32-E72D297353CC}">
                  <c16:uniqueId val="{00000008-B6D0-424C-96CD-5E7698C5E66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(HIDE)'!$B$68:$B$74</c:f>
              <c:numCache>
                <c:formatCode>0%</c:formatCode>
                <c:ptCount val="7"/>
                <c:pt idx="0">
                  <c:v>-0.15000000000000002</c:v>
                </c:pt>
                <c:pt idx="1">
                  <c:v>-0.1</c:v>
                </c:pt>
                <c:pt idx="2">
                  <c:v>-0.05</c:v>
                </c:pt>
                <c:pt idx="3">
                  <c:v>0</c:v>
                </c:pt>
                <c:pt idx="4">
                  <c:v>0.05</c:v>
                </c:pt>
                <c:pt idx="5">
                  <c:v>0.1</c:v>
                </c:pt>
                <c:pt idx="6">
                  <c:v>0.15000000000000002</c:v>
                </c:pt>
              </c:numCache>
            </c:numRef>
          </c:cat>
          <c:val>
            <c:numRef>
              <c:f>'Chart (HIDE)'!$D$68:$D$74</c:f>
              <c:numCache>
                <c:formatCode>"$"#,##0.00_);[Red]\("$"#,##0.00\)</c:formatCode>
                <c:ptCount val="7"/>
                <c:pt idx="0">
                  <c:v>1.7253074602314813</c:v>
                </c:pt>
                <c:pt idx="1">
                  <c:v>1.6053074602314814</c:v>
                </c:pt>
                <c:pt idx="2">
                  <c:v>1.4753074602314813</c:v>
                </c:pt>
                <c:pt idx="3">
                  <c:v>1.3553074602314814</c:v>
                </c:pt>
                <c:pt idx="4">
                  <c:v>1.2353074602314815</c:v>
                </c:pt>
                <c:pt idx="5">
                  <c:v>1.1153074602314814</c:v>
                </c:pt>
                <c:pt idx="6">
                  <c:v>0.98530746023148141</c:v>
                </c:pt>
              </c:numCache>
            </c:numRef>
          </c:val>
          <c:smooth val="0"/>
          <c:extLst>
            <c:ext xmlns:c16="http://schemas.microsoft.com/office/drawing/2014/chart" uri="{C3380CC4-5D6E-409C-BE32-E72D297353CC}">
              <c16:uniqueId val="{00000009-B6D0-424C-96CD-5E7698C5E666}"/>
            </c:ext>
          </c:extLst>
        </c:ser>
        <c:dLbls>
          <c:showLegendKey val="0"/>
          <c:showVal val="0"/>
          <c:showCatName val="0"/>
          <c:showSerName val="0"/>
          <c:showPercent val="0"/>
          <c:showBubbleSize val="0"/>
        </c:dLbls>
        <c:smooth val="0"/>
        <c:axId val="204950624"/>
        <c:axId val="1"/>
      </c:lineChart>
      <c:catAx>
        <c:axId val="20495062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Owned Pasture Equity per Acre</a:t>
                </a:r>
              </a:p>
            </c:rich>
          </c:tx>
          <c:overlay val="0"/>
        </c:title>
        <c:numFmt formatCode="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4950624"/>
        <c:crosses val="autoZero"/>
        <c:crossBetween val="between"/>
      </c:valAx>
      <c:spPr>
        <a:noFill/>
        <a:ln w="25400">
          <a:noFill/>
        </a:ln>
      </c:spPr>
    </c:plotArea>
    <c:legend>
      <c:legendPos val="b"/>
      <c:layout>
        <c:manualLayout>
          <c:xMode val="edge"/>
          <c:yMode val="edge"/>
          <c:x val="0"/>
          <c:y val="0.85076967943109683"/>
          <c:w val="0.99791053777852234"/>
          <c:h val="9.0714643575535964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(HIDE)'!$Q$65</c:f>
          <c:strCache>
            <c:ptCount val="1"/>
            <c:pt idx="0">
              <c:v>Impact of Interest Rates on Pasture Cost Per Day (@75% equity for 25 yrs) </c:v>
            </c:pt>
          </c:strCache>
        </c:strRef>
      </c:tx>
      <c:overlay val="0"/>
      <c:spPr>
        <a:noFill/>
        <a:ln w="25400">
          <a:noFill/>
        </a:ln>
      </c:spPr>
      <c:txPr>
        <a:bodyPr/>
        <a:lstStyle/>
        <a:p>
          <a:pPr>
            <a:defRPr sz="1400" b="1" i="0" u="none" strike="noStrike" baseline="0">
              <a:solidFill>
                <a:srgbClr val="333333"/>
              </a:solidFill>
              <a:latin typeface="Calibri"/>
              <a:ea typeface="Calibri"/>
              <a:cs typeface="Calibri"/>
            </a:defRPr>
          </a:pPr>
          <a:endParaRPr lang="en-US"/>
        </a:p>
      </c:txPr>
    </c:title>
    <c:autoTitleDeleted val="0"/>
    <c:plotArea>
      <c:layout>
        <c:manualLayout>
          <c:layoutTarget val="inner"/>
          <c:xMode val="edge"/>
          <c:yMode val="edge"/>
          <c:x val="0.17344621830528065"/>
          <c:y val="0.20524051884818745"/>
          <c:w val="0.75057622384357914"/>
          <c:h val="0.4856790292517783"/>
        </c:manualLayout>
      </c:layout>
      <c:lineChart>
        <c:grouping val="standard"/>
        <c:varyColors val="0"/>
        <c:ser>
          <c:idx val="1"/>
          <c:order val="0"/>
          <c:tx>
            <c:strRef>
              <c:f>'Chart (HIDE)'!$R$67</c:f>
              <c:strCache>
                <c:ptCount val="1"/>
                <c:pt idx="0">
                  <c:v>Improved Pasture (from 6%)</c:v>
                </c:pt>
              </c:strCache>
            </c:strRef>
          </c:tx>
          <c:marker>
            <c:symbol val="none"/>
          </c:marker>
          <c:dPt>
            <c:idx val="3"/>
            <c:marker>
              <c:symbol val="auto"/>
            </c:marker>
            <c:bubble3D val="0"/>
            <c:spPr/>
            <c:extLst>
              <c:ext xmlns:c16="http://schemas.microsoft.com/office/drawing/2014/chart" uri="{C3380CC4-5D6E-409C-BE32-E72D297353CC}">
                <c16:uniqueId val="{00000001-9246-4DC9-9611-4B443BFF47E2}"/>
              </c:ext>
            </c:extLst>
          </c:dPt>
          <c:dLbls>
            <c:dLbl>
              <c:idx val="3"/>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46-4DC9-9611-4B443BFF47E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 (HIDE)'!$Q$68:$Q$74</c:f>
              <c:numCache>
                <c:formatCode>0.00%</c:formatCode>
                <c:ptCount val="7"/>
                <c:pt idx="0">
                  <c:v>-1.4999999999999999E-2</c:v>
                </c:pt>
                <c:pt idx="1">
                  <c:v>-0.01</c:v>
                </c:pt>
                <c:pt idx="2">
                  <c:v>-5.0000000000000001E-3</c:v>
                </c:pt>
                <c:pt idx="3">
                  <c:v>0</c:v>
                </c:pt>
                <c:pt idx="4">
                  <c:v>5.0000000000000001E-3</c:v>
                </c:pt>
                <c:pt idx="5">
                  <c:v>0.01</c:v>
                </c:pt>
                <c:pt idx="6">
                  <c:v>1.4999999999999999E-2</c:v>
                </c:pt>
              </c:numCache>
            </c:numRef>
          </c:cat>
          <c:val>
            <c:numRef>
              <c:f>'Chart (HIDE)'!$R$68:$R$74</c:f>
              <c:numCache>
                <c:formatCode>"$"#,##0.00_);[Red]\("$"#,##0.00\)</c:formatCode>
                <c:ptCount val="7"/>
                <c:pt idx="0">
                  <c:v>1.3494100000000002</c:v>
                </c:pt>
                <c:pt idx="1">
                  <c:v>1.3694100000000002</c:v>
                </c:pt>
                <c:pt idx="2">
                  <c:v>1.3894100000000003</c:v>
                </c:pt>
                <c:pt idx="3">
                  <c:v>1.4094100000000003</c:v>
                </c:pt>
                <c:pt idx="4">
                  <c:v>1.4294100000000003</c:v>
                </c:pt>
                <c:pt idx="5">
                  <c:v>1.4594100000000003</c:v>
                </c:pt>
                <c:pt idx="6">
                  <c:v>1.4794100000000003</c:v>
                </c:pt>
              </c:numCache>
            </c:numRef>
          </c:val>
          <c:smooth val="0"/>
          <c:extLst>
            <c:ext xmlns:c16="http://schemas.microsoft.com/office/drawing/2014/chart" uri="{C3380CC4-5D6E-409C-BE32-E72D297353CC}">
              <c16:uniqueId val="{00000002-9246-4DC9-9611-4B443BFF47E2}"/>
            </c:ext>
          </c:extLst>
        </c:ser>
        <c:ser>
          <c:idx val="0"/>
          <c:order val="1"/>
          <c:tx>
            <c:strRef>
              <c:f>'Chart (HIDE)'!$S$67</c:f>
              <c:strCache>
                <c:ptCount val="1"/>
                <c:pt idx="0">
                  <c:v>Marginal Pasture (from 6%)</c:v>
                </c:pt>
              </c:strCache>
            </c:strRef>
          </c:tx>
          <c:dPt>
            <c:idx val="0"/>
            <c:marker>
              <c:symbol val="none"/>
            </c:marker>
            <c:bubble3D val="0"/>
            <c:extLst>
              <c:ext xmlns:c16="http://schemas.microsoft.com/office/drawing/2014/chart" uri="{C3380CC4-5D6E-409C-BE32-E72D297353CC}">
                <c16:uniqueId val="{00000003-9246-4DC9-9611-4B443BFF47E2}"/>
              </c:ext>
            </c:extLst>
          </c:dPt>
          <c:dPt>
            <c:idx val="1"/>
            <c:marker>
              <c:symbol val="none"/>
            </c:marker>
            <c:bubble3D val="0"/>
            <c:extLst>
              <c:ext xmlns:c16="http://schemas.microsoft.com/office/drawing/2014/chart" uri="{C3380CC4-5D6E-409C-BE32-E72D297353CC}">
                <c16:uniqueId val="{00000004-9246-4DC9-9611-4B443BFF47E2}"/>
              </c:ext>
            </c:extLst>
          </c:dPt>
          <c:dPt>
            <c:idx val="2"/>
            <c:marker>
              <c:symbol val="none"/>
            </c:marker>
            <c:bubble3D val="0"/>
            <c:extLst>
              <c:ext xmlns:c16="http://schemas.microsoft.com/office/drawing/2014/chart" uri="{C3380CC4-5D6E-409C-BE32-E72D297353CC}">
                <c16:uniqueId val="{00000005-9246-4DC9-9611-4B443BFF47E2}"/>
              </c:ext>
            </c:extLst>
          </c:dPt>
          <c:dPt>
            <c:idx val="4"/>
            <c:marker>
              <c:symbol val="none"/>
            </c:marker>
            <c:bubble3D val="0"/>
            <c:extLst>
              <c:ext xmlns:c16="http://schemas.microsoft.com/office/drawing/2014/chart" uri="{C3380CC4-5D6E-409C-BE32-E72D297353CC}">
                <c16:uniqueId val="{00000006-9246-4DC9-9611-4B443BFF47E2}"/>
              </c:ext>
            </c:extLst>
          </c:dPt>
          <c:dPt>
            <c:idx val="5"/>
            <c:marker>
              <c:symbol val="none"/>
            </c:marker>
            <c:bubble3D val="0"/>
            <c:extLst>
              <c:ext xmlns:c16="http://schemas.microsoft.com/office/drawing/2014/chart" uri="{C3380CC4-5D6E-409C-BE32-E72D297353CC}">
                <c16:uniqueId val="{00000007-9246-4DC9-9611-4B443BFF47E2}"/>
              </c:ext>
            </c:extLst>
          </c:dPt>
          <c:dPt>
            <c:idx val="6"/>
            <c:marker>
              <c:symbol val="none"/>
            </c:marker>
            <c:bubble3D val="0"/>
            <c:extLst>
              <c:ext xmlns:c16="http://schemas.microsoft.com/office/drawing/2014/chart" uri="{C3380CC4-5D6E-409C-BE32-E72D297353CC}">
                <c16:uniqueId val="{00000008-9246-4DC9-9611-4B443BFF47E2}"/>
              </c:ext>
            </c:extLst>
          </c:dPt>
          <c:dLbls>
            <c:dLbl>
              <c:idx val="0"/>
              <c:delete val="1"/>
              <c:extLst>
                <c:ext xmlns:c15="http://schemas.microsoft.com/office/drawing/2012/chart" uri="{CE6537A1-D6FC-4f65-9D91-7224C49458BB}"/>
                <c:ext xmlns:c16="http://schemas.microsoft.com/office/drawing/2014/chart" uri="{C3380CC4-5D6E-409C-BE32-E72D297353CC}">
                  <c16:uniqueId val="{00000003-9246-4DC9-9611-4B443BFF47E2}"/>
                </c:ext>
              </c:extLst>
            </c:dLbl>
            <c:dLbl>
              <c:idx val="1"/>
              <c:delete val="1"/>
              <c:extLst>
                <c:ext xmlns:c15="http://schemas.microsoft.com/office/drawing/2012/chart" uri="{CE6537A1-D6FC-4f65-9D91-7224C49458BB}"/>
                <c:ext xmlns:c16="http://schemas.microsoft.com/office/drawing/2014/chart" uri="{C3380CC4-5D6E-409C-BE32-E72D297353CC}">
                  <c16:uniqueId val="{00000004-9246-4DC9-9611-4B443BFF47E2}"/>
                </c:ext>
              </c:extLst>
            </c:dLbl>
            <c:dLbl>
              <c:idx val="2"/>
              <c:delete val="1"/>
              <c:extLst>
                <c:ext xmlns:c15="http://schemas.microsoft.com/office/drawing/2012/chart" uri="{CE6537A1-D6FC-4f65-9D91-7224C49458BB}"/>
                <c:ext xmlns:c16="http://schemas.microsoft.com/office/drawing/2014/chart" uri="{C3380CC4-5D6E-409C-BE32-E72D297353CC}">
                  <c16:uniqueId val="{00000005-9246-4DC9-9611-4B443BFF47E2}"/>
                </c:ext>
              </c:extLst>
            </c:dLbl>
            <c:dLbl>
              <c:idx val="4"/>
              <c:delete val="1"/>
              <c:extLst>
                <c:ext xmlns:c15="http://schemas.microsoft.com/office/drawing/2012/chart" uri="{CE6537A1-D6FC-4f65-9D91-7224C49458BB}"/>
                <c:ext xmlns:c16="http://schemas.microsoft.com/office/drawing/2014/chart" uri="{C3380CC4-5D6E-409C-BE32-E72D297353CC}">
                  <c16:uniqueId val="{00000006-9246-4DC9-9611-4B443BFF47E2}"/>
                </c:ext>
              </c:extLst>
            </c:dLbl>
            <c:dLbl>
              <c:idx val="5"/>
              <c:delete val="1"/>
              <c:extLst>
                <c:ext xmlns:c15="http://schemas.microsoft.com/office/drawing/2012/chart" uri="{CE6537A1-D6FC-4f65-9D91-7224C49458BB}"/>
                <c:ext xmlns:c16="http://schemas.microsoft.com/office/drawing/2014/chart" uri="{C3380CC4-5D6E-409C-BE32-E72D297353CC}">
                  <c16:uniqueId val="{00000007-9246-4DC9-9611-4B443BFF47E2}"/>
                </c:ext>
              </c:extLst>
            </c:dLbl>
            <c:dLbl>
              <c:idx val="6"/>
              <c:delete val="1"/>
              <c:extLst>
                <c:ext xmlns:c15="http://schemas.microsoft.com/office/drawing/2012/chart" uri="{CE6537A1-D6FC-4f65-9D91-7224C49458BB}"/>
                <c:ext xmlns:c16="http://schemas.microsoft.com/office/drawing/2014/chart" uri="{C3380CC4-5D6E-409C-BE32-E72D297353CC}">
                  <c16:uniqueId val="{00000008-9246-4DC9-9611-4B443BFF47E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(HIDE)'!$Q$68:$Q$74</c:f>
              <c:numCache>
                <c:formatCode>0.00%</c:formatCode>
                <c:ptCount val="7"/>
                <c:pt idx="0">
                  <c:v>-1.4999999999999999E-2</c:v>
                </c:pt>
                <c:pt idx="1">
                  <c:v>-0.01</c:v>
                </c:pt>
                <c:pt idx="2">
                  <c:v>-5.0000000000000001E-3</c:v>
                </c:pt>
                <c:pt idx="3">
                  <c:v>0</c:v>
                </c:pt>
                <c:pt idx="4">
                  <c:v>5.0000000000000001E-3</c:v>
                </c:pt>
                <c:pt idx="5">
                  <c:v>0.01</c:v>
                </c:pt>
                <c:pt idx="6">
                  <c:v>1.4999999999999999E-2</c:v>
                </c:pt>
              </c:numCache>
            </c:numRef>
          </c:cat>
          <c:val>
            <c:numRef>
              <c:f>'Chart (HIDE)'!$S$68:$S$74</c:f>
              <c:numCache>
                <c:formatCode>"$"#,##0.00_);[Red]\("$"#,##0.00\)</c:formatCode>
                <c:ptCount val="7"/>
                <c:pt idx="0">
                  <c:v>1.2753074602314816</c:v>
                </c:pt>
                <c:pt idx="1">
                  <c:v>1.2953074602314816</c:v>
                </c:pt>
                <c:pt idx="2">
                  <c:v>1.3253074602314814</c:v>
                </c:pt>
                <c:pt idx="3">
                  <c:v>1.3553074602314814</c:v>
                </c:pt>
                <c:pt idx="4">
                  <c:v>1.3853074602314814</c:v>
                </c:pt>
                <c:pt idx="5">
                  <c:v>1.4153074602314815</c:v>
                </c:pt>
                <c:pt idx="6">
                  <c:v>1.4453074602314815</c:v>
                </c:pt>
              </c:numCache>
            </c:numRef>
          </c:val>
          <c:smooth val="0"/>
          <c:extLst>
            <c:ext xmlns:c16="http://schemas.microsoft.com/office/drawing/2014/chart" uri="{C3380CC4-5D6E-409C-BE32-E72D297353CC}">
              <c16:uniqueId val="{00000009-9246-4DC9-9611-4B443BFF47E2}"/>
            </c:ext>
          </c:extLst>
        </c:ser>
        <c:dLbls>
          <c:showLegendKey val="0"/>
          <c:showVal val="0"/>
          <c:showCatName val="0"/>
          <c:showSerName val="0"/>
          <c:showPercent val="0"/>
          <c:showBubbleSize val="0"/>
        </c:dLbls>
        <c:smooth val="0"/>
        <c:axId val="204950624"/>
        <c:axId val="1"/>
      </c:lineChart>
      <c:catAx>
        <c:axId val="204950624"/>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CA"/>
                  <a:t>Change in Interest Rate</a:t>
                </a:r>
              </a:p>
            </c:rich>
          </c:tx>
          <c:overlay val="0"/>
        </c:title>
        <c:numFmt formatCode="0.00%"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85000000000000009"/>
        </c:scaling>
        <c:delete val="0"/>
        <c:axPos val="l"/>
        <c:majorGridlines>
          <c:spPr>
            <a:ln w="9525" cap="flat" cmpd="sng" algn="ctr">
              <a:solidFill>
                <a:schemeClr val="tx1">
                  <a:lumMod val="15000"/>
                  <a:lumOff val="85000"/>
                </a:schemeClr>
              </a:solidFill>
              <a:round/>
            </a:ln>
            <a:effectLst/>
          </c:spPr>
        </c:majorGridlines>
        <c:title>
          <c:tx>
            <c:rich>
              <a:bodyPr/>
              <a:lstStyle/>
              <a:p>
                <a:pPr>
                  <a:defRPr sz="1400" b="1" i="0" u="none" strike="noStrike" baseline="0">
                    <a:solidFill>
                      <a:srgbClr val="000000"/>
                    </a:solidFill>
                    <a:latin typeface="Calibri"/>
                    <a:ea typeface="Calibri"/>
                    <a:cs typeface="Calibri"/>
                  </a:defRPr>
                </a:pPr>
                <a:r>
                  <a:rPr lang="en-CA"/>
                  <a:t>$ per cow</a:t>
                </a:r>
              </a:p>
            </c:rich>
          </c:tx>
          <c:overlay val="0"/>
        </c:title>
        <c:numFmt formatCode="&quot;$&quot;#,##0.00_);[Red]\(&quot;$&quot;#,##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204950624"/>
        <c:crosses val="autoZero"/>
        <c:crossBetween val="between"/>
      </c:valAx>
      <c:spPr>
        <a:noFill/>
        <a:ln w="25400">
          <a:noFill/>
        </a:ln>
      </c:spPr>
    </c:plotArea>
    <c:legend>
      <c:legendPos val="b"/>
      <c:layout>
        <c:manualLayout>
          <c:xMode val="edge"/>
          <c:yMode val="edge"/>
          <c:x val="0"/>
          <c:y val="0.85076967943109683"/>
          <c:w val="0.99791053777852234"/>
          <c:h val="6.4123950318176082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(HIDE)'!$G$129</c:f>
          <c:strCache>
            <c:ptCount val="1"/>
            <c:pt idx="0">
              <c:v>Improved Pasture Indemnity = $5,655 or $60/hd    Unimproved Pasture Indemnity = $1,947 or $61/head</c:v>
            </c:pt>
          </c:strCache>
        </c:strRef>
      </c:tx>
      <c:layout>
        <c:manualLayout>
          <c:xMode val="edge"/>
          <c:yMode val="edge"/>
          <c:x val="0.17672570982327757"/>
          <c:y val="3.0045889425112184E-2"/>
        </c:manualLayout>
      </c:layout>
      <c:overlay val="0"/>
      <c:txPr>
        <a:bodyPr/>
        <a:lstStyle/>
        <a:p>
          <a:pPr algn="ctr">
            <a:defRPr sz="12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7941559323005926"/>
          <c:y val="0.23321276775886884"/>
          <c:w val="0.72574797929215273"/>
          <c:h val="0.52094352722038773"/>
        </c:manualLayout>
      </c:layout>
      <c:barChart>
        <c:barDir val="col"/>
        <c:grouping val="clustered"/>
        <c:varyColors val="0"/>
        <c:ser>
          <c:idx val="3"/>
          <c:order val="0"/>
          <c:tx>
            <c:strRef>
              <c:f>'Chart (HIDE)'!$E$130</c:f>
              <c:strCache>
                <c:ptCount val="1"/>
                <c:pt idx="0">
                  <c:v>Historic Grazing Days</c:v>
                </c:pt>
              </c:strCache>
            </c:strRef>
          </c:tx>
          <c:spPr>
            <a:solidFill>
              <a:schemeClr val="bg1">
                <a:lumMod val="65000"/>
              </a:schemeClr>
            </a:solidFill>
            <a:ln>
              <a:solidFill>
                <a:schemeClr val="bg1">
                  <a:lumMod val="50000"/>
                </a:schemeClr>
              </a:solidFill>
            </a:ln>
          </c:spPr>
          <c:invertIfNegative val="0"/>
          <c:dPt>
            <c:idx val="1"/>
            <c:invertIfNegative val="0"/>
            <c:bubble3D val="0"/>
            <c:extLst>
              <c:ext xmlns:c16="http://schemas.microsoft.com/office/drawing/2014/chart" uri="{C3380CC4-5D6E-409C-BE32-E72D297353CC}">
                <c16:uniqueId val="{00000001-E791-41FB-BA10-A98F44664C73}"/>
              </c:ext>
            </c:extLst>
          </c:dPt>
          <c:dLbls>
            <c:spPr>
              <a:noFill/>
              <a:ln>
                <a:noFill/>
              </a:ln>
              <a:effectLst/>
            </c:spPr>
            <c:txPr>
              <a:bodyPr wrap="square" lIns="38100" tIns="19050" rIns="38100" bIns="19050" anchor="ctr">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'Chart (HIDE)'!$C$131:$C$133</c:f>
              <c:numCache>
                <c:formatCode>General</c:formatCode>
                <c:ptCount val="3"/>
              </c:numCache>
            </c:numRef>
          </c:cat>
          <c:val>
            <c:numRef>
              <c:f>'Chart (HIDE)'!$E$131:$E$133</c:f>
              <c:numCache>
                <c:formatCode>#,##0</c:formatCode>
                <c:ptCount val="3"/>
                <c:pt idx="1">
                  <c:v>134</c:v>
                </c:pt>
              </c:numCache>
            </c:numRef>
          </c:val>
          <c:extLst>
            <c:ext xmlns:c16="http://schemas.microsoft.com/office/drawing/2014/chart" uri="{C3380CC4-5D6E-409C-BE32-E72D297353CC}">
              <c16:uniqueId val="{00000002-E791-41FB-BA10-A98F44664C73}"/>
            </c:ext>
          </c:extLst>
        </c:ser>
        <c:ser>
          <c:idx val="4"/>
          <c:order val="1"/>
          <c:tx>
            <c:strRef>
              <c:f>'Chart (HIDE)'!$F$130</c:f>
              <c:strCache>
                <c:ptCount val="1"/>
                <c:pt idx="0">
                  <c:v>Pasture Days Covered by AgriInsurance</c:v>
                </c:pt>
              </c:strCache>
            </c:strRef>
          </c:tx>
          <c:spPr>
            <a:solidFill>
              <a:schemeClr val="bg1">
                <a:lumMod val="95000"/>
              </a:schemeClr>
            </a:solidFill>
            <a:ln>
              <a:solidFill>
                <a:schemeClr val="bg1">
                  <a:lumMod val="50000"/>
                </a:schemeClr>
              </a:solidFill>
            </a:ln>
          </c:spPr>
          <c:invertIfNegative val="0"/>
          <c:dPt>
            <c:idx val="1"/>
            <c:invertIfNegative val="0"/>
            <c:bubble3D val="0"/>
            <c:extLst>
              <c:ext xmlns:c16="http://schemas.microsoft.com/office/drawing/2014/chart" uri="{C3380CC4-5D6E-409C-BE32-E72D297353CC}">
                <c16:uniqueId val="{00000004-E791-41FB-BA10-A98F44664C73}"/>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 (HIDE)'!$C$131:$C$133</c:f>
              <c:numCache>
                <c:formatCode>General</c:formatCode>
                <c:ptCount val="3"/>
              </c:numCache>
            </c:numRef>
          </c:cat>
          <c:val>
            <c:numRef>
              <c:f>'Chart (HIDE)'!$F$131:$F$133</c:f>
              <c:numCache>
                <c:formatCode>#,##0</c:formatCode>
                <c:ptCount val="3"/>
                <c:pt idx="1">
                  <c:v>121</c:v>
                </c:pt>
              </c:numCache>
            </c:numRef>
          </c:val>
          <c:extLst>
            <c:ext xmlns:c16="http://schemas.microsoft.com/office/drawing/2014/chart" uri="{C3380CC4-5D6E-409C-BE32-E72D297353CC}">
              <c16:uniqueId val="{00000005-E791-41FB-BA10-A98F44664C73}"/>
            </c:ext>
          </c:extLst>
        </c:ser>
        <c:dLbls>
          <c:showLegendKey val="0"/>
          <c:showVal val="0"/>
          <c:showCatName val="0"/>
          <c:showSerName val="0"/>
          <c:showPercent val="0"/>
          <c:showBubbleSize val="0"/>
        </c:dLbls>
        <c:gapWidth val="150"/>
        <c:axId val="518672864"/>
        <c:axId val="1"/>
      </c:barChart>
      <c:lineChart>
        <c:grouping val="standard"/>
        <c:varyColors val="0"/>
        <c:ser>
          <c:idx val="0"/>
          <c:order val="2"/>
          <c:tx>
            <c:strRef>
              <c:f>'Chart (HIDE)'!$G$130</c:f>
              <c:strCache>
                <c:ptCount val="1"/>
                <c:pt idx="0">
                  <c:v>100 Actual Grazing Days </c:v>
                </c:pt>
              </c:strCache>
            </c:strRef>
          </c:tx>
          <c:spPr>
            <a:ln w="44450">
              <a:solidFill>
                <a:schemeClr val="tx1"/>
              </a:solidFill>
            </a:ln>
          </c:spPr>
          <c:marker>
            <c:symbol val="none"/>
          </c:marker>
          <c:dLbls>
            <c:dLbl>
              <c:idx val="0"/>
              <c:layout>
                <c:manualLayout>
                  <c:x val="-0.11747288783912314"/>
                  <c:y val="5.1889344502863657E-2"/>
                </c:manualLayout>
              </c:layout>
              <c:spPr>
                <a:noFill/>
                <a:ln>
                  <a:noFill/>
                </a:ln>
                <a:effectLst/>
              </c:spPr>
              <c:txPr>
                <a:bodyPr wrap="square" lIns="38100" tIns="19050" rIns="38100" bIns="19050" anchor="ctr">
                  <a:noAutofit/>
                </a:bodyPr>
                <a:lstStyle/>
                <a:p>
                  <a:pPr>
                    <a:defRPr sz="1400" b="1"/>
                  </a:pPr>
                  <a:endParaRPr lang="en-US"/>
                </a:p>
              </c:txPr>
              <c:dLblPos val="r"/>
              <c:showLegendKey val="0"/>
              <c:showVal val="0"/>
              <c:showCatName val="0"/>
              <c:showSerName val="1"/>
              <c:showPercent val="0"/>
              <c:showBubbleSize val="0"/>
              <c:separator> </c:separator>
              <c:extLst>
                <c:ext xmlns:c15="http://schemas.microsoft.com/office/drawing/2012/chart" uri="{CE6537A1-D6FC-4f65-9D91-7224C49458BB}">
                  <c15:layout>
                    <c:manualLayout>
                      <c:w val="0.70727653698786241"/>
                      <c:h val="9.2356955380577421E-2"/>
                    </c:manualLayout>
                  </c15:layout>
                </c:ext>
                <c:ext xmlns:c16="http://schemas.microsoft.com/office/drawing/2014/chart" uri="{C3380CC4-5D6E-409C-BE32-E72D297353CC}">
                  <c16:uniqueId val="{00000006-E791-41FB-BA10-A98F44664C73}"/>
                </c:ext>
              </c:extLst>
            </c:dLbl>
            <c:dLbl>
              <c:idx val="1"/>
              <c:delete val="1"/>
              <c:extLst>
                <c:ext xmlns:c15="http://schemas.microsoft.com/office/drawing/2012/chart" uri="{CE6537A1-D6FC-4f65-9D91-7224C49458BB}"/>
                <c:ext xmlns:c16="http://schemas.microsoft.com/office/drawing/2014/chart" uri="{C3380CC4-5D6E-409C-BE32-E72D297353CC}">
                  <c16:uniqueId val="{00000007-E791-41FB-BA10-A98F44664C73}"/>
                </c:ext>
              </c:extLst>
            </c:dLbl>
            <c:dLbl>
              <c:idx val="2"/>
              <c:delete val="1"/>
              <c:extLst>
                <c:ext xmlns:c15="http://schemas.microsoft.com/office/drawing/2012/chart" uri="{CE6537A1-D6FC-4f65-9D91-7224C49458BB}"/>
                <c:ext xmlns:c16="http://schemas.microsoft.com/office/drawing/2014/chart" uri="{C3380CC4-5D6E-409C-BE32-E72D297353CC}">
                  <c16:uniqueId val="{00000008-E791-41FB-BA10-A98F44664C73}"/>
                </c:ext>
              </c:extLst>
            </c:dLbl>
            <c:spPr>
              <a:noFill/>
              <a:ln>
                <a:noFill/>
              </a:ln>
              <a:effectLst/>
            </c:spPr>
            <c:txPr>
              <a:bodyPr wrap="square" lIns="38100" tIns="19050" rIns="38100" bIns="19050" anchor="ctr">
                <a:spAutoFit/>
              </a:bodyPr>
              <a:lstStyle/>
              <a:p>
                <a:pPr>
                  <a:defRPr sz="1400"/>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val>
            <c:numRef>
              <c:f>'Chart (HIDE)'!$G$131:$G$133</c:f>
              <c:numCache>
                <c:formatCode>#,##0</c:formatCode>
                <c:ptCount val="3"/>
                <c:pt idx="0">
                  <c:v>100</c:v>
                </c:pt>
                <c:pt idx="1">
                  <c:v>100</c:v>
                </c:pt>
                <c:pt idx="2">
                  <c:v>100</c:v>
                </c:pt>
              </c:numCache>
            </c:numRef>
          </c:val>
          <c:smooth val="0"/>
          <c:extLst>
            <c:ext xmlns:c16="http://schemas.microsoft.com/office/drawing/2014/chart" uri="{C3380CC4-5D6E-409C-BE32-E72D297353CC}">
              <c16:uniqueId val="{00000009-E791-41FB-BA10-A98F44664C73}"/>
            </c:ext>
          </c:extLst>
        </c:ser>
        <c:dLbls>
          <c:showLegendKey val="0"/>
          <c:showVal val="0"/>
          <c:showCatName val="0"/>
          <c:showSerName val="0"/>
          <c:showPercent val="0"/>
          <c:showBubbleSize val="0"/>
        </c:dLbls>
        <c:marker val="1"/>
        <c:smooth val="0"/>
        <c:axId val="518672864"/>
        <c:axId val="1"/>
      </c:lineChart>
      <c:catAx>
        <c:axId val="518672864"/>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sz="1200"/>
                  <a:t>Days on Pasture</a:t>
                </a:r>
              </a:p>
            </c:rich>
          </c:tx>
          <c:layout>
            <c:manualLayout>
              <c:xMode val="edge"/>
              <c:yMode val="edge"/>
              <c:x val="3.5786179244006788E-2"/>
              <c:y val="0.29996985860638392"/>
            </c:manualLayout>
          </c:layout>
          <c:overlay val="0"/>
        </c:title>
        <c:numFmt formatCode="General" sourceLinked="1"/>
        <c:majorTickMark val="in"/>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518672864"/>
        <c:crosses val="autoZero"/>
        <c:crossBetween val="between"/>
        <c:majorUnit val="25"/>
      </c:valAx>
      <c:spPr>
        <a:noFill/>
        <a:ln>
          <a:solidFill>
            <a:schemeClr val="tx1"/>
          </a:solidFill>
        </a:ln>
      </c:spPr>
    </c:plotArea>
    <c:legend>
      <c:legendPos val="b"/>
      <c:legendEntry>
        <c:idx val="2"/>
        <c:delete val="1"/>
      </c:legendEntry>
      <c:layout>
        <c:manualLayout>
          <c:xMode val="edge"/>
          <c:yMode val="edge"/>
          <c:x val="3.1612836238316455E-2"/>
          <c:y val="0.81120792215383564"/>
          <c:w val="0.88324143900437324"/>
          <c:h val="0.15326109856609793"/>
        </c:manualLayout>
      </c:layou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Indemnity Based on Days on Pasture</a:t>
            </a:r>
          </a:p>
        </c:rich>
      </c:tx>
      <c:overlay val="0"/>
    </c:title>
    <c:autoTitleDeleted val="0"/>
    <c:plotArea>
      <c:layout>
        <c:manualLayout>
          <c:layoutTarget val="inner"/>
          <c:xMode val="edge"/>
          <c:yMode val="edge"/>
          <c:x val="0.1835212775992853"/>
          <c:y val="0.18452991452991452"/>
          <c:w val="0.78547097046273029"/>
          <c:h val="0.5545864459250287"/>
        </c:manualLayout>
      </c:layout>
      <c:lineChart>
        <c:grouping val="standard"/>
        <c:varyColors val="0"/>
        <c:ser>
          <c:idx val="0"/>
          <c:order val="0"/>
          <c:tx>
            <c:strRef>
              <c:f>'Chart (HIDE)'!$D$134</c:f>
              <c:strCache>
                <c:ptCount val="1"/>
                <c:pt idx="0">
                  <c:v>Improved Pasture</c:v>
                </c:pt>
              </c:strCache>
            </c:strRef>
          </c:tx>
          <c:spPr>
            <a:ln w="28575" cap="rnd">
              <a:solidFill>
                <a:schemeClr val="tx1"/>
              </a:solidFill>
              <a:round/>
            </a:ln>
            <a:effectLst/>
          </c:spPr>
          <c:marker>
            <c:symbol val="none"/>
          </c:marker>
          <c:cat>
            <c:numRef>
              <c:f>'Chart (HIDE)'!$C$135:$C$216</c:f>
              <c:numCache>
                <c:formatCode>General</c:formatCode>
                <c:ptCount val="8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numCache>
            </c:numRef>
          </c:cat>
          <c:val>
            <c:numRef>
              <c:f>'Chart (HIDE)'!$D$135:$D$216</c:f>
              <c:numCache>
                <c:formatCode>"$"#,##0</c:formatCode>
                <c:ptCount val="82"/>
                <c:pt idx="0">
                  <c:v>0</c:v>
                </c:pt>
                <c:pt idx="1">
                  <c:v>164.70000000000164</c:v>
                </c:pt>
                <c:pt idx="2">
                  <c:v>439.20000000000164</c:v>
                </c:pt>
                <c:pt idx="3">
                  <c:v>713.70000000000164</c:v>
                </c:pt>
                <c:pt idx="4">
                  <c:v>988.20000000000164</c:v>
                </c:pt>
                <c:pt idx="5">
                  <c:v>1262.7000000000016</c:v>
                </c:pt>
                <c:pt idx="6">
                  <c:v>1537.2000000000016</c:v>
                </c:pt>
                <c:pt idx="7">
                  <c:v>1811.7000000000016</c:v>
                </c:pt>
                <c:pt idx="8">
                  <c:v>2086.2000000000016</c:v>
                </c:pt>
                <c:pt idx="9">
                  <c:v>2360.7000000000016</c:v>
                </c:pt>
                <c:pt idx="10">
                  <c:v>2635.2000000000016</c:v>
                </c:pt>
                <c:pt idx="11">
                  <c:v>2909.7000000000016</c:v>
                </c:pt>
                <c:pt idx="12">
                  <c:v>3184.2000000000016</c:v>
                </c:pt>
                <c:pt idx="13">
                  <c:v>3458.7000000000016</c:v>
                </c:pt>
                <c:pt idx="14">
                  <c:v>3733.2000000000016</c:v>
                </c:pt>
                <c:pt idx="15">
                  <c:v>4007.7000000000016</c:v>
                </c:pt>
                <c:pt idx="16">
                  <c:v>4282.2000000000016</c:v>
                </c:pt>
                <c:pt idx="17">
                  <c:v>4556.7000000000016</c:v>
                </c:pt>
                <c:pt idx="18">
                  <c:v>4831.2000000000016</c:v>
                </c:pt>
                <c:pt idx="19">
                  <c:v>5105.7000000000016</c:v>
                </c:pt>
                <c:pt idx="20">
                  <c:v>5380.2000000000016</c:v>
                </c:pt>
                <c:pt idx="21">
                  <c:v>5654.7000000000016</c:v>
                </c:pt>
                <c:pt idx="22">
                  <c:v>5929.2000000000016</c:v>
                </c:pt>
                <c:pt idx="23">
                  <c:v>6203.7000000000016</c:v>
                </c:pt>
                <c:pt idx="24">
                  <c:v>6478.2000000000016</c:v>
                </c:pt>
                <c:pt idx="25">
                  <c:v>6752.7000000000016</c:v>
                </c:pt>
                <c:pt idx="26">
                  <c:v>7027.2000000000016</c:v>
                </c:pt>
                <c:pt idx="27">
                  <c:v>7301.7000000000016</c:v>
                </c:pt>
                <c:pt idx="28">
                  <c:v>7576.2000000000016</c:v>
                </c:pt>
                <c:pt idx="29">
                  <c:v>7850.7000000000016</c:v>
                </c:pt>
                <c:pt idx="30">
                  <c:v>8125.2000000000016</c:v>
                </c:pt>
                <c:pt idx="31">
                  <c:v>8399.7000000000007</c:v>
                </c:pt>
                <c:pt idx="32">
                  <c:v>8674.2000000000007</c:v>
                </c:pt>
                <c:pt idx="33">
                  <c:v>8948.7000000000007</c:v>
                </c:pt>
                <c:pt idx="34">
                  <c:v>9223.2000000000007</c:v>
                </c:pt>
                <c:pt idx="35">
                  <c:v>9497.7000000000007</c:v>
                </c:pt>
                <c:pt idx="36">
                  <c:v>9772.2000000000007</c:v>
                </c:pt>
                <c:pt idx="37">
                  <c:v>10046.700000000001</c:v>
                </c:pt>
                <c:pt idx="38">
                  <c:v>10321.200000000001</c:v>
                </c:pt>
                <c:pt idx="39">
                  <c:v>10595.7</c:v>
                </c:pt>
                <c:pt idx="40">
                  <c:v>10870.2</c:v>
                </c:pt>
                <c:pt idx="41">
                  <c:v>11144.7</c:v>
                </c:pt>
                <c:pt idx="42">
                  <c:v>11419.2</c:v>
                </c:pt>
                <c:pt idx="43">
                  <c:v>11693.7</c:v>
                </c:pt>
                <c:pt idx="44">
                  <c:v>11968.2</c:v>
                </c:pt>
                <c:pt idx="45">
                  <c:v>12242.7</c:v>
                </c:pt>
                <c:pt idx="46">
                  <c:v>12517.2</c:v>
                </c:pt>
                <c:pt idx="47">
                  <c:v>12791.7</c:v>
                </c:pt>
                <c:pt idx="48">
                  <c:v>13066.2</c:v>
                </c:pt>
                <c:pt idx="49">
                  <c:v>13340.7</c:v>
                </c:pt>
                <c:pt idx="50">
                  <c:v>13615.2</c:v>
                </c:pt>
                <c:pt idx="51">
                  <c:v>13889.7</c:v>
                </c:pt>
                <c:pt idx="52">
                  <c:v>14164.2</c:v>
                </c:pt>
                <c:pt idx="53">
                  <c:v>14438.7</c:v>
                </c:pt>
                <c:pt idx="54">
                  <c:v>14713.2</c:v>
                </c:pt>
                <c:pt idx="55">
                  <c:v>14987.7</c:v>
                </c:pt>
                <c:pt idx="56">
                  <c:v>15262.2</c:v>
                </c:pt>
                <c:pt idx="57">
                  <c:v>15536.7</c:v>
                </c:pt>
                <c:pt idx="58">
                  <c:v>15811.2</c:v>
                </c:pt>
                <c:pt idx="59">
                  <c:v>16085.7</c:v>
                </c:pt>
                <c:pt idx="60">
                  <c:v>16360.2</c:v>
                </c:pt>
                <c:pt idx="61">
                  <c:v>16634.7</c:v>
                </c:pt>
                <c:pt idx="62">
                  <c:v>16909.2</c:v>
                </c:pt>
                <c:pt idx="63">
                  <c:v>17183.7</c:v>
                </c:pt>
                <c:pt idx="64">
                  <c:v>17458.2</c:v>
                </c:pt>
                <c:pt idx="65">
                  <c:v>17732.7</c:v>
                </c:pt>
                <c:pt idx="66">
                  <c:v>18007.2</c:v>
                </c:pt>
                <c:pt idx="67">
                  <c:v>18281.7</c:v>
                </c:pt>
                <c:pt idx="68">
                  <c:v>18556.2</c:v>
                </c:pt>
                <c:pt idx="69">
                  <c:v>18830.7</c:v>
                </c:pt>
                <c:pt idx="70">
                  <c:v>19105.2</c:v>
                </c:pt>
                <c:pt idx="71">
                  <c:v>19379.7</c:v>
                </c:pt>
                <c:pt idx="72">
                  <c:v>19654.2</c:v>
                </c:pt>
                <c:pt idx="73">
                  <c:v>19928.7</c:v>
                </c:pt>
                <c:pt idx="74">
                  <c:v>20203.2</c:v>
                </c:pt>
                <c:pt idx="75">
                  <c:v>20477.7</c:v>
                </c:pt>
                <c:pt idx="76">
                  <c:v>20752.2</c:v>
                </c:pt>
                <c:pt idx="77">
                  <c:v>21026.7</c:v>
                </c:pt>
                <c:pt idx="78">
                  <c:v>21301.200000000001</c:v>
                </c:pt>
                <c:pt idx="79">
                  <c:v>21575.7</c:v>
                </c:pt>
                <c:pt idx="80">
                  <c:v>21850.2</c:v>
                </c:pt>
                <c:pt idx="81">
                  <c:v>22124.7</c:v>
                </c:pt>
              </c:numCache>
            </c:numRef>
          </c:val>
          <c:smooth val="0"/>
          <c:extLst>
            <c:ext xmlns:c16="http://schemas.microsoft.com/office/drawing/2014/chart" uri="{C3380CC4-5D6E-409C-BE32-E72D297353CC}">
              <c16:uniqueId val="{00000000-DC96-4CD7-BE68-31E12235AD08}"/>
            </c:ext>
          </c:extLst>
        </c:ser>
        <c:ser>
          <c:idx val="1"/>
          <c:order val="1"/>
          <c:tx>
            <c:strRef>
              <c:f>'Chart (HIDE)'!$E$134</c:f>
              <c:strCache>
                <c:ptCount val="1"/>
                <c:pt idx="0">
                  <c:v>Unimproved Pasture</c:v>
                </c:pt>
              </c:strCache>
            </c:strRef>
          </c:tx>
          <c:spPr>
            <a:ln w="28575" cap="rnd">
              <a:solidFill>
                <a:schemeClr val="tx1"/>
              </a:solidFill>
              <a:prstDash val="dash"/>
              <a:round/>
            </a:ln>
            <a:effectLst/>
          </c:spPr>
          <c:marker>
            <c:symbol val="none"/>
          </c:marker>
          <c:cat>
            <c:numRef>
              <c:f>'Chart (HIDE)'!$C$135:$C$216</c:f>
              <c:numCache>
                <c:formatCode>General</c:formatCode>
                <c:ptCount val="8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numCache>
            </c:numRef>
          </c:cat>
          <c:val>
            <c:numRef>
              <c:f>'Chart (HIDE)'!$E$135:$E$216</c:f>
              <c:numCache>
                <c:formatCode>"$"#,##0</c:formatCode>
                <c:ptCount val="82"/>
                <c:pt idx="0">
                  <c:v>0</c:v>
                </c:pt>
                <c:pt idx="1">
                  <c:v>56.699999999999591</c:v>
                </c:pt>
                <c:pt idx="2">
                  <c:v>151.19999999999959</c:v>
                </c:pt>
                <c:pt idx="3">
                  <c:v>245.69999999999959</c:v>
                </c:pt>
                <c:pt idx="4">
                  <c:v>340.19999999999959</c:v>
                </c:pt>
                <c:pt idx="5">
                  <c:v>434.69999999999959</c:v>
                </c:pt>
                <c:pt idx="6">
                  <c:v>529.19999999999959</c:v>
                </c:pt>
                <c:pt idx="7">
                  <c:v>623.69999999999959</c:v>
                </c:pt>
                <c:pt idx="8">
                  <c:v>718.19999999999959</c:v>
                </c:pt>
                <c:pt idx="9">
                  <c:v>812.69999999999959</c:v>
                </c:pt>
                <c:pt idx="10">
                  <c:v>907.19999999999959</c:v>
                </c:pt>
                <c:pt idx="11">
                  <c:v>1001.6999999999996</c:v>
                </c:pt>
                <c:pt idx="12">
                  <c:v>1096.1999999999996</c:v>
                </c:pt>
                <c:pt idx="13">
                  <c:v>1190.6999999999996</c:v>
                </c:pt>
                <c:pt idx="14">
                  <c:v>1285.1999999999996</c:v>
                </c:pt>
                <c:pt idx="15">
                  <c:v>1379.6999999999996</c:v>
                </c:pt>
                <c:pt idx="16">
                  <c:v>1474.1999999999996</c:v>
                </c:pt>
                <c:pt idx="17">
                  <c:v>1568.6999999999996</c:v>
                </c:pt>
                <c:pt idx="18">
                  <c:v>1663.1999999999996</c:v>
                </c:pt>
                <c:pt idx="19">
                  <c:v>1757.6999999999996</c:v>
                </c:pt>
                <c:pt idx="20">
                  <c:v>1852.1999999999996</c:v>
                </c:pt>
                <c:pt idx="21">
                  <c:v>1946.6999999999996</c:v>
                </c:pt>
                <c:pt idx="22">
                  <c:v>2041.1999999999996</c:v>
                </c:pt>
                <c:pt idx="23">
                  <c:v>2135.6999999999998</c:v>
                </c:pt>
                <c:pt idx="24">
                  <c:v>2230.1999999999998</c:v>
                </c:pt>
                <c:pt idx="25">
                  <c:v>2324.6999999999998</c:v>
                </c:pt>
                <c:pt idx="26">
                  <c:v>2419.1999999999998</c:v>
                </c:pt>
                <c:pt idx="27">
                  <c:v>2513.6999999999998</c:v>
                </c:pt>
                <c:pt idx="28">
                  <c:v>2608.1999999999998</c:v>
                </c:pt>
                <c:pt idx="29">
                  <c:v>2702.7</c:v>
                </c:pt>
                <c:pt idx="30">
                  <c:v>2797.2</c:v>
                </c:pt>
                <c:pt idx="31">
                  <c:v>2891.7</c:v>
                </c:pt>
                <c:pt idx="32">
                  <c:v>2986.2</c:v>
                </c:pt>
                <c:pt idx="33">
                  <c:v>3080.7</c:v>
                </c:pt>
                <c:pt idx="34">
                  <c:v>3175.2</c:v>
                </c:pt>
                <c:pt idx="35">
                  <c:v>3269.7</c:v>
                </c:pt>
                <c:pt idx="36">
                  <c:v>3364.2</c:v>
                </c:pt>
                <c:pt idx="37">
                  <c:v>3458.7</c:v>
                </c:pt>
                <c:pt idx="38">
                  <c:v>3553.2</c:v>
                </c:pt>
                <c:pt idx="39">
                  <c:v>3647.7</c:v>
                </c:pt>
                <c:pt idx="40">
                  <c:v>3742.2</c:v>
                </c:pt>
                <c:pt idx="41">
                  <c:v>3836.7</c:v>
                </c:pt>
                <c:pt idx="42">
                  <c:v>3931.2</c:v>
                </c:pt>
                <c:pt idx="43">
                  <c:v>4025.7</c:v>
                </c:pt>
                <c:pt idx="44">
                  <c:v>4120.2</c:v>
                </c:pt>
                <c:pt idx="45">
                  <c:v>4214.7</c:v>
                </c:pt>
                <c:pt idx="46">
                  <c:v>4309.2</c:v>
                </c:pt>
                <c:pt idx="47">
                  <c:v>4403.7</c:v>
                </c:pt>
                <c:pt idx="48">
                  <c:v>4498.2</c:v>
                </c:pt>
                <c:pt idx="49">
                  <c:v>4592.7</c:v>
                </c:pt>
                <c:pt idx="50">
                  <c:v>4687.2</c:v>
                </c:pt>
                <c:pt idx="51">
                  <c:v>4781.7</c:v>
                </c:pt>
                <c:pt idx="52">
                  <c:v>4876.2</c:v>
                </c:pt>
                <c:pt idx="53">
                  <c:v>4970.7</c:v>
                </c:pt>
                <c:pt idx="54">
                  <c:v>5065.2</c:v>
                </c:pt>
                <c:pt idx="55">
                  <c:v>5159.7</c:v>
                </c:pt>
                <c:pt idx="56">
                  <c:v>5254.2</c:v>
                </c:pt>
                <c:pt idx="57">
                  <c:v>5348.7</c:v>
                </c:pt>
                <c:pt idx="58">
                  <c:v>5443.2</c:v>
                </c:pt>
                <c:pt idx="59">
                  <c:v>5537.7</c:v>
                </c:pt>
                <c:pt idx="60">
                  <c:v>5632.2</c:v>
                </c:pt>
                <c:pt idx="61">
                  <c:v>5726.7</c:v>
                </c:pt>
                <c:pt idx="62">
                  <c:v>5821.2</c:v>
                </c:pt>
                <c:pt idx="63">
                  <c:v>5915.7</c:v>
                </c:pt>
                <c:pt idx="64">
                  <c:v>6010.2</c:v>
                </c:pt>
                <c:pt idx="65">
                  <c:v>6104.7</c:v>
                </c:pt>
                <c:pt idx="66">
                  <c:v>6199.2</c:v>
                </c:pt>
                <c:pt idx="67">
                  <c:v>6293.7</c:v>
                </c:pt>
                <c:pt idx="68">
                  <c:v>6388.2</c:v>
                </c:pt>
                <c:pt idx="69">
                  <c:v>6482.7</c:v>
                </c:pt>
                <c:pt idx="70">
                  <c:v>6577.2</c:v>
                </c:pt>
                <c:pt idx="71">
                  <c:v>6671.7</c:v>
                </c:pt>
                <c:pt idx="72">
                  <c:v>6766.2</c:v>
                </c:pt>
                <c:pt idx="73">
                  <c:v>6860.7</c:v>
                </c:pt>
                <c:pt idx="74">
                  <c:v>6955.2</c:v>
                </c:pt>
                <c:pt idx="75">
                  <c:v>7049.7</c:v>
                </c:pt>
                <c:pt idx="76">
                  <c:v>7144.2</c:v>
                </c:pt>
                <c:pt idx="77">
                  <c:v>7238.7</c:v>
                </c:pt>
                <c:pt idx="78">
                  <c:v>7333.2</c:v>
                </c:pt>
                <c:pt idx="79">
                  <c:v>7427.7</c:v>
                </c:pt>
                <c:pt idx="80">
                  <c:v>7522.2</c:v>
                </c:pt>
                <c:pt idx="81">
                  <c:v>7616.7</c:v>
                </c:pt>
              </c:numCache>
            </c:numRef>
          </c:val>
          <c:smooth val="0"/>
          <c:extLst>
            <c:ext xmlns:c16="http://schemas.microsoft.com/office/drawing/2014/chart" uri="{C3380CC4-5D6E-409C-BE32-E72D297353CC}">
              <c16:uniqueId val="{00000001-DC96-4CD7-BE68-31E12235AD08}"/>
            </c:ext>
          </c:extLst>
        </c:ser>
        <c:dLbls>
          <c:showLegendKey val="0"/>
          <c:showVal val="0"/>
          <c:showCatName val="0"/>
          <c:showSerName val="0"/>
          <c:showPercent val="0"/>
          <c:showBubbleSize val="0"/>
        </c:dLbls>
        <c:smooth val="0"/>
        <c:axId val="207576360"/>
        <c:axId val="1"/>
      </c:lineChart>
      <c:catAx>
        <c:axId val="207576360"/>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CA" sz="1200" b="1"/>
                  <a:t>Days on Pasture</a:t>
                </a:r>
              </a:p>
            </c:rich>
          </c:tx>
          <c:layout>
            <c:manualLayout>
              <c:xMode val="edge"/>
              <c:yMode val="edge"/>
              <c:x val="0.4557704494126395"/>
              <c:y val="0.8155831482603136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tickMarkSkip val="2"/>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out"/>
        <c:minorTickMark val="out"/>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7576360"/>
        <c:crosses val="autoZero"/>
        <c:crossBetween val="between"/>
      </c:valAx>
      <c:spPr>
        <a:noFill/>
        <a:ln w="12700">
          <a:solidFill>
            <a:schemeClr val="tx1"/>
          </a:solidFill>
        </a:ln>
      </c:spPr>
    </c:plotArea>
    <c:legend>
      <c:legendPos val="b"/>
      <c:layout>
        <c:manualLayout>
          <c:xMode val="edge"/>
          <c:yMode val="edge"/>
          <c:x val="3.3320570658054616E-3"/>
          <c:y val="0.8568073221616529"/>
          <c:w val="0.993335663908819"/>
          <c:h val="0.1175516521973214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'Pasture Ins Calc (HIDE)'!$D$88</c:f>
          <c:strCache>
            <c:ptCount val="1"/>
            <c:pt idx="0">
              <c:v>Pasture Insurance Indemnity (based on 146 Head @ 134 days historic grazing period)</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'Pasture Ins Calc (HIDE)'!$D$90</c:f>
              <c:strCache>
                <c:ptCount val="1"/>
                <c:pt idx="0">
                  <c:v>Pasture Insurance Indemnity</c:v>
                </c:pt>
              </c:strCache>
            </c:strRef>
          </c:tx>
          <c:spPr>
            <a:ln w="28575" cap="rnd">
              <a:solidFill>
                <a:schemeClr val="accent1"/>
              </a:solidFill>
              <a:round/>
            </a:ln>
            <a:effectLst/>
          </c:spPr>
          <c:marker>
            <c:symbol val="none"/>
          </c:marker>
          <c:cat>
            <c:numRef>
              <c:f>'Pasture Ins Calc (HIDE)'!$G$91:$G$172</c:f>
              <c:numCache>
                <c:formatCode>General</c:formatCode>
                <c:ptCount val="8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numCache>
            </c:numRef>
          </c:cat>
          <c:val>
            <c:numRef>
              <c:f>'Pasture Ins Calc (HIDE)'!$H$91:$H$172</c:f>
              <c:numCache>
                <c:formatCode>"$"#,##0</c:formatCode>
                <c:ptCount val="82"/>
                <c:pt idx="0">
                  <c:v>0</c:v>
                </c:pt>
                <c:pt idx="1">
                  <c:v>228</c:v>
                </c:pt>
                <c:pt idx="2">
                  <c:v>608</c:v>
                </c:pt>
                <c:pt idx="3">
                  <c:v>988</c:v>
                </c:pt>
                <c:pt idx="4">
                  <c:v>1368</c:v>
                </c:pt>
                <c:pt idx="5">
                  <c:v>1748</c:v>
                </c:pt>
                <c:pt idx="6">
                  <c:v>2128</c:v>
                </c:pt>
                <c:pt idx="7">
                  <c:v>2508</c:v>
                </c:pt>
                <c:pt idx="8">
                  <c:v>2888</c:v>
                </c:pt>
                <c:pt idx="9">
                  <c:v>3268</c:v>
                </c:pt>
                <c:pt idx="10">
                  <c:v>3648</c:v>
                </c:pt>
                <c:pt idx="11">
                  <c:v>4028</c:v>
                </c:pt>
                <c:pt idx="12">
                  <c:v>4408</c:v>
                </c:pt>
                <c:pt idx="13">
                  <c:v>4788</c:v>
                </c:pt>
                <c:pt idx="14">
                  <c:v>5168</c:v>
                </c:pt>
                <c:pt idx="15">
                  <c:v>5548</c:v>
                </c:pt>
                <c:pt idx="16">
                  <c:v>5928</c:v>
                </c:pt>
                <c:pt idx="17">
                  <c:v>6308</c:v>
                </c:pt>
                <c:pt idx="18">
                  <c:v>6688</c:v>
                </c:pt>
                <c:pt idx="19">
                  <c:v>7068</c:v>
                </c:pt>
                <c:pt idx="20">
                  <c:v>7448</c:v>
                </c:pt>
                <c:pt idx="21">
                  <c:v>7828</c:v>
                </c:pt>
                <c:pt idx="22">
                  <c:v>8208</c:v>
                </c:pt>
                <c:pt idx="23">
                  <c:v>8588</c:v>
                </c:pt>
                <c:pt idx="24">
                  <c:v>8968</c:v>
                </c:pt>
                <c:pt idx="25">
                  <c:v>9348</c:v>
                </c:pt>
                <c:pt idx="26">
                  <c:v>9728</c:v>
                </c:pt>
                <c:pt idx="27">
                  <c:v>10108</c:v>
                </c:pt>
                <c:pt idx="28">
                  <c:v>10488</c:v>
                </c:pt>
                <c:pt idx="29">
                  <c:v>10868</c:v>
                </c:pt>
                <c:pt idx="30">
                  <c:v>11248</c:v>
                </c:pt>
                <c:pt idx="31">
                  <c:v>11628</c:v>
                </c:pt>
                <c:pt idx="32">
                  <c:v>12008</c:v>
                </c:pt>
                <c:pt idx="33">
                  <c:v>12388</c:v>
                </c:pt>
                <c:pt idx="34">
                  <c:v>12768</c:v>
                </c:pt>
                <c:pt idx="35">
                  <c:v>13148</c:v>
                </c:pt>
                <c:pt idx="36">
                  <c:v>13528</c:v>
                </c:pt>
                <c:pt idx="37">
                  <c:v>13908</c:v>
                </c:pt>
                <c:pt idx="38">
                  <c:v>14288</c:v>
                </c:pt>
                <c:pt idx="39">
                  <c:v>14668</c:v>
                </c:pt>
                <c:pt idx="40">
                  <c:v>15048</c:v>
                </c:pt>
                <c:pt idx="41">
                  <c:v>15428</c:v>
                </c:pt>
                <c:pt idx="42">
                  <c:v>15808</c:v>
                </c:pt>
                <c:pt idx="43">
                  <c:v>16188</c:v>
                </c:pt>
                <c:pt idx="44">
                  <c:v>16568</c:v>
                </c:pt>
                <c:pt idx="45">
                  <c:v>16948</c:v>
                </c:pt>
                <c:pt idx="46">
                  <c:v>17328</c:v>
                </c:pt>
                <c:pt idx="47">
                  <c:v>17708</c:v>
                </c:pt>
                <c:pt idx="48">
                  <c:v>18088</c:v>
                </c:pt>
                <c:pt idx="49">
                  <c:v>18468</c:v>
                </c:pt>
                <c:pt idx="50">
                  <c:v>18848</c:v>
                </c:pt>
                <c:pt idx="51">
                  <c:v>19228</c:v>
                </c:pt>
                <c:pt idx="52">
                  <c:v>19608</c:v>
                </c:pt>
                <c:pt idx="53">
                  <c:v>19988</c:v>
                </c:pt>
                <c:pt idx="54">
                  <c:v>20368</c:v>
                </c:pt>
                <c:pt idx="55">
                  <c:v>20748</c:v>
                </c:pt>
                <c:pt idx="56">
                  <c:v>21128</c:v>
                </c:pt>
                <c:pt idx="57">
                  <c:v>21508</c:v>
                </c:pt>
                <c:pt idx="58">
                  <c:v>21888</c:v>
                </c:pt>
                <c:pt idx="59">
                  <c:v>22268</c:v>
                </c:pt>
                <c:pt idx="60">
                  <c:v>22648</c:v>
                </c:pt>
                <c:pt idx="61">
                  <c:v>23028</c:v>
                </c:pt>
                <c:pt idx="62">
                  <c:v>23408</c:v>
                </c:pt>
                <c:pt idx="63">
                  <c:v>23788</c:v>
                </c:pt>
                <c:pt idx="64">
                  <c:v>24168</c:v>
                </c:pt>
                <c:pt idx="65">
                  <c:v>24548</c:v>
                </c:pt>
                <c:pt idx="66">
                  <c:v>24928</c:v>
                </c:pt>
                <c:pt idx="67">
                  <c:v>25308</c:v>
                </c:pt>
                <c:pt idx="68">
                  <c:v>25688</c:v>
                </c:pt>
                <c:pt idx="69">
                  <c:v>26068</c:v>
                </c:pt>
                <c:pt idx="70">
                  <c:v>26448</c:v>
                </c:pt>
                <c:pt idx="71">
                  <c:v>26828</c:v>
                </c:pt>
                <c:pt idx="72">
                  <c:v>27208</c:v>
                </c:pt>
                <c:pt idx="73">
                  <c:v>27588</c:v>
                </c:pt>
                <c:pt idx="74">
                  <c:v>27968</c:v>
                </c:pt>
                <c:pt idx="75">
                  <c:v>28348</c:v>
                </c:pt>
                <c:pt idx="76">
                  <c:v>28728</c:v>
                </c:pt>
                <c:pt idx="77">
                  <c:v>29108</c:v>
                </c:pt>
                <c:pt idx="78">
                  <c:v>29488</c:v>
                </c:pt>
                <c:pt idx="79">
                  <c:v>29868</c:v>
                </c:pt>
                <c:pt idx="80">
                  <c:v>30248</c:v>
                </c:pt>
                <c:pt idx="81">
                  <c:v>30628</c:v>
                </c:pt>
              </c:numCache>
            </c:numRef>
          </c:val>
          <c:smooth val="0"/>
          <c:extLst>
            <c:ext xmlns:c16="http://schemas.microsoft.com/office/drawing/2014/chart" uri="{C3380CC4-5D6E-409C-BE32-E72D297353CC}">
              <c16:uniqueId val="{00000000-F4D3-45D5-8B21-CB14940E2CA7}"/>
            </c:ext>
          </c:extLst>
        </c:ser>
        <c:ser>
          <c:idx val="1"/>
          <c:order val="1"/>
          <c:tx>
            <c:strRef>
              <c:f>'Pasture Ins Calc (HIDE)'!$F$90</c:f>
              <c:strCache>
                <c:ptCount val="1"/>
                <c:pt idx="0">
                  <c:v>Breakeven</c:v>
                </c:pt>
              </c:strCache>
            </c:strRef>
          </c:tx>
          <c:spPr>
            <a:ln w="28575" cap="rnd">
              <a:solidFill>
                <a:schemeClr val="accent2"/>
              </a:solidFill>
              <a:round/>
            </a:ln>
            <a:effectLst/>
          </c:spPr>
          <c:marker>
            <c:symbol val="none"/>
          </c:marker>
          <c:cat>
            <c:numRef>
              <c:f>'Pasture Ins Calc (HIDE)'!$G$91:$G$172</c:f>
              <c:numCache>
                <c:formatCode>General</c:formatCode>
                <c:ptCount val="8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numCache>
            </c:numRef>
          </c:cat>
          <c:val>
            <c:numRef>
              <c:f>'Pasture Ins Calc (HIDE)'!$F$91:$F$172</c:f>
              <c:numCache>
                <c:formatCode>"$"#,##0</c:formatCode>
                <c:ptCount val="82"/>
                <c:pt idx="0">
                  <c:v>751.57920000000013</c:v>
                </c:pt>
                <c:pt idx="1">
                  <c:v>751.57920000000013</c:v>
                </c:pt>
                <c:pt idx="2">
                  <c:v>751.57920000000013</c:v>
                </c:pt>
                <c:pt idx="3">
                  <c:v>751.57920000000013</c:v>
                </c:pt>
                <c:pt idx="4">
                  <c:v>751.57920000000013</c:v>
                </c:pt>
                <c:pt idx="5">
                  <c:v>751.57920000000013</c:v>
                </c:pt>
                <c:pt idx="6">
                  <c:v>751.57920000000013</c:v>
                </c:pt>
                <c:pt idx="7">
                  <c:v>751.57920000000013</c:v>
                </c:pt>
                <c:pt idx="8">
                  <c:v>751.57920000000013</c:v>
                </c:pt>
                <c:pt idx="9">
                  <c:v>751.57920000000013</c:v>
                </c:pt>
                <c:pt idx="10">
                  <c:v>751.57920000000013</c:v>
                </c:pt>
                <c:pt idx="11">
                  <c:v>751.57920000000013</c:v>
                </c:pt>
                <c:pt idx="12">
                  <c:v>751.57920000000013</c:v>
                </c:pt>
                <c:pt idx="13">
                  <c:v>751.57920000000013</c:v>
                </c:pt>
                <c:pt idx="14">
                  <c:v>751.57920000000013</c:v>
                </c:pt>
                <c:pt idx="15">
                  <c:v>751.57920000000013</c:v>
                </c:pt>
                <c:pt idx="16">
                  <c:v>751.57920000000013</c:v>
                </c:pt>
                <c:pt idx="17">
                  <c:v>751.57920000000013</c:v>
                </c:pt>
                <c:pt idx="18">
                  <c:v>751.57920000000013</c:v>
                </c:pt>
                <c:pt idx="19">
                  <c:v>751.57920000000013</c:v>
                </c:pt>
                <c:pt idx="20">
                  <c:v>751.57920000000013</c:v>
                </c:pt>
                <c:pt idx="21">
                  <c:v>751.57920000000013</c:v>
                </c:pt>
                <c:pt idx="22">
                  <c:v>751.57920000000013</c:v>
                </c:pt>
                <c:pt idx="23">
                  <c:v>751.57920000000013</c:v>
                </c:pt>
                <c:pt idx="24">
                  <c:v>751.57920000000013</c:v>
                </c:pt>
                <c:pt idx="25">
                  <c:v>751.57920000000013</c:v>
                </c:pt>
                <c:pt idx="26">
                  <c:v>751.57920000000013</c:v>
                </c:pt>
                <c:pt idx="27">
                  <c:v>751.57920000000013</c:v>
                </c:pt>
                <c:pt idx="28">
                  <c:v>751.57920000000013</c:v>
                </c:pt>
                <c:pt idx="29">
                  <c:v>751.57920000000013</c:v>
                </c:pt>
                <c:pt idx="30">
                  <c:v>751.57920000000013</c:v>
                </c:pt>
                <c:pt idx="31">
                  <c:v>751.57920000000013</c:v>
                </c:pt>
                <c:pt idx="32">
                  <c:v>751.57920000000013</c:v>
                </c:pt>
                <c:pt idx="33">
                  <c:v>751.57920000000013</c:v>
                </c:pt>
                <c:pt idx="34">
                  <c:v>751.57920000000013</c:v>
                </c:pt>
                <c:pt idx="35">
                  <c:v>751.57920000000013</c:v>
                </c:pt>
                <c:pt idx="36">
                  <c:v>751.57920000000013</c:v>
                </c:pt>
                <c:pt idx="37">
                  <c:v>751.57920000000013</c:v>
                </c:pt>
                <c:pt idx="38">
                  <c:v>751.57920000000013</c:v>
                </c:pt>
                <c:pt idx="39">
                  <c:v>751.57920000000013</c:v>
                </c:pt>
                <c:pt idx="40">
                  <c:v>751.57920000000013</c:v>
                </c:pt>
                <c:pt idx="41">
                  <c:v>751.57920000000013</c:v>
                </c:pt>
                <c:pt idx="42">
                  <c:v>751.57920000000013</c:v>
                </c:pt>
                <c:pt idx="43">
                  <c:v>751.57920000000013</c:v>
                </c:pt>
                <c:pt idx="44">
                  <c:v>751.57920000000013</c:v>
                </c:pt>
                <c:pt idx="45">
                  <c:v>751.57920000000013</c:v>
                </c:pt>
                <c:pt idx="46">
                  <c:v>751.57920000000013</c:v>
                </c:pt>
                <c:pt idx="47">
                  <c:v>751.57920000000013</c:v>
                </c:pt>
                <c:pt idx="48">
                  <c:v>751.57920000000013</c:v>
                </c:pt>
                <c:pt idx="49">
                  <c:v>751.57920000000013</c:v>
                </c:pt>
                <c:pt idx="50">
                  <c:v>751.57920000000013</c:v>
                </c:pt>
                <c:pt idx="51">
                  <c:v>751.57920000000013</c:v>
                </c:pt>
                <c:pt idx="52">
                  <c:v>751.57920000000013</c:v>
                </c:pt>
                <c:pt idx="53">
                  <c:v>751.57920000000013</c:v>
                </c:pt>
                <c:pt idx="54">
                  <c:v>751.57920000000013</c:v>
                </c:pt>
                <c:pt idx="55">
                  <c:v>751.57920000000013</c:v>
                </c:pt>
                <c:pt idx="56">
                  <c:v>751.57920000000013</c:v>
                </c:pt>
                <c:pt idx="57">
                  <c:v>751.57920000000013</c:v>
                </c:pt>
                <c:pt idx="58">
                  <c:v>751.57920000000013</c:v>
                </c:pt>
                <c:pt idx="59">
                  <c:v>751.57920000000013</c:v>
                </c:pt>
                <c:pt idx="60">
                  <c:v>751.57920000000013</c:v>
                </c:pt>
                <c:pt idx="61">
                  <c:v>751.57920000000013</c:v>
                </c:pt>
                <c:pt idx="62">
                  <c:v>751.57920000000013</c:v>
                </c:pt>
                <c:pt idx="63">
                  <c:v>751.57920000000013</c:v>
                </c:pt>
                <c:pt idx="64">
                  <c:v>751.57920000000013</c:v>
                </c:pt>
                <c:pt idx="65">
                  <c:v>751.57920000000013</c:v>
                </c:pt>
                <c:pt idx="66">
                  <c:v>751.57920000000013</c:v>
                </c:pt>
                <c:pt idx="67">
                  <c:v>751.57920000000013</c:v>
                </c:pt>
                <c:pt idx="68">
                  <c:v>751.57920000000013</c:v>
                </c:pt>
                <c:pt idx="69">
                  <c:v>751.57920000000013</c:v>
                </c:pt>
                <c:pt idx="70">
                  <c:v>751.57920000000013</c:v>
                </c:pt>
                <c:pt idx="71">
                  <c:v>751.57920000000013</c:v>
                </c:pt>
                <c:pt idx="72">
                  <c:v>751.57920000000013</c:v>
                </c:pt>
                <c:pt idx="73">
                  <c:v>751.57920000000013</c:v>
                </c:pt>
                <c:pt idx="74">
                  <c:v>751.57920000000013</c:v>
                </c:pt>
                <c:pt idx="75">
                  <c:v>751.57920000000013</c:v>
                </c:pt>
                <c:pt idx="76">
                  <c:v>751.57920000000013</c:v>
                </c:pt>
                <c:pt idx="77">
                  <c:v>751.57920000000013</c:v>
                </c:pt>
                <c:pt idx="78">
                  <c:v>751.57920000000013</c:v>
                </c:pt>
                <c:pt idx="79">
                  <c:v>751.57920000000013</c:v>
                </c:pt>
                <c:pt idx="80">
                  <c:v>751.57920000000013</c:v>
                </c:pt>
                <c:pt idx="81">
                  <c:v>751.57920000000013</c:v>
                </c:pt>
              </c:numCache>
            </c:numRef>
          </c:val>
          <c:smooth val="0"/>
          <c:extLst>
            <c:ext xmlns:c16="http://schemas.microsoft.com/office/drawing/2014/chart" uri="{C3380CC4-5D6E-409C-BE32-E72D297353CC}">
              <c16:uniqueId val="{00000001-F4D3-45D5-8B21-CB14940E2CA7}"/>
            </c:ext>
          </c:extLst>
        </c:ser>
        <c:dLbls>
          <c:showLegendKey val="0"/>
          <c:showVal val="0"/>
          <c:showCatName val="0"/>
          <c:showSerName val="0"/>
          <c:showPercent val="0"/>
          <c:showBubbleSize val="0"/>
        </c:dLbls>
        <c:smooth val="0"/>
        <c:axId val="207576360"/>
        <c:axId val="1"/>
      </c:lineChart>
      <c:catAx>
        <c:axId val="207576360"/>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CA" sz="1200" b="1"/>
                  <a:t>Days on Pasture</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CA" sz="1200" b="1"/>
                  <a:t>$ Indemnity</a:t>
                </a:r>
              </a:p>
            </c:rich>
          </c:tx>
          <c:overlay val="0"/>
          <c:spPr>
            <a:noFill/>
            <a:ln>
              <a:noFill/>
            </a:ln>
            <a:effectLst/>
          </c:spPr>
        </c:title>
        <c:numFmt formatCode="&quot;$&quot;#,##0" sourceLinked="1"/>
        <c:majorTickMark val="out"/>
        <c:minorTickMark val="out"/>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76360"/>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'Pasture Ins Calc (HIDE)'!$H$174</c:f>
          <c:strCache>
            <c:ptCount val="1"/>
            <c:pt idx="0">
              <c:v>Indemnity = $7,448 or $51/head</c:v>
            </c:pt>
          </c:strCache>
        </c:strRef>
      </c:tx>
      <c:layout>
        <c:manualLayout>
          <c:xMode val="edge"/>
          <c:yMode val="edge"/>
          <c:x val="0.23427597779785725"/>
          <c:y val="3.0045960412153721E-2"/>
        </c:manualLayout>
      </c:layout>
      <c:overlay val="0"/>
      <c:txPr>
        <a:bodyPr/>
        <a:lstStyle/>
        <a:p>
          <a:pPr algn="ctr">
            <a:defRPr sz="16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0.17941559323005926"/>
          <c:y val="0.16439569507959978"/>
          <c:w val="0.72574797929215273"/>
          <c:h val="0.58976079955071115"/>
        </c:manualLayout>
      </c:layout>
      <c:barChart>
        <c:barDir val="col"/>
        <c:grouping val="clustered"/>
        <c:varyColors val="0"/>
        <c:ser>
          <c:idx val="3"/>
          <c:order val="0"/>
          <c:tx>
            <c:strRef>
              <c:f>'Pasture Ins Calc (HIDE)'!$F$175</c:f>
              <c:strCache>
                <c:ptCount val="1"/>
                <c:pt idx="0">
                  <c:v>Historic Grazing Days</c:v>
                </c:pt>
              </c:strCache>
            </c:strRef>
          </c:tx>
          <c:spPr>
            <a:solidFill>
              <a:schemeClr val="bg1">
                <a:lumMod val="85000"/>
              </a:schemeClr>
            </a:solidFill>
          </c:spPr>
          <c:invertIfNegative val="0"/>
          <c:dPt>
            <c:idx val="1"/>
            <c:invertIfNegative val="0"/>
            <c:bubble3D val="0"/>
            <c:spPr>
              <a:solidFill>
                <a:schemeClr val="bg1">
                  <a:lumMod val="65000"/>
                </a:schemeClr>
              </a:solidFill>
            </c:spPr>
            <c:extLst>
              <c:ext xmlns:c16="http://schemas.microsoft.com/office/drawing/2014/chart" uri="{C3380CC4-5D6E-409C-BE32-E72D297353CC}">
                <c16:uniqueId val="{00000001-B06A-438C-9C5B-BBDD50D70D46}"/>
              </c:ext>
            </c:extLst>
          </c:dPt>
          <c:dLbls>
            <c:spPr>
              <a:noFill/>
              <a:ln>
                <a:noFill/>
              </a:ln>
              <a:effectLst/>
            </c:spPr>
            <c:txPr>
              <a:bodyPr wrap="square" lIns="38100" tIns="19050" rIns="38100" bIns="19050" anchor="ctr">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'Pasture Ins Calc (HIDE)'!$D$184:$D$186</c:f>
              <c:numCache>
                <c:formatCode>General</c:formatCode>
                <c:ptCount val="3"/>
              </c:numCache>
            </c:numRef>
          </c:cat>
          <c:val>
            <c:numRef>
              <c:f>'Pasture Ins Calc (HIDE)'!$F$176:$F$178</c:f>
              <c:numCache>
                <c:formatCode>#,##0</c:formatCode>
                <c:ptCount val="3"/>
                <c:pt idx="1">
                  <c:v>134</c:v>
                </c:pt>
              </c:numCache>
            </c:numRef>
          </c:val>
          <c:extLst>
            <c:ext xmlns:c16="http://schemas.microsoft.com/office/drawing/2014/chart" uri="{C3380CC4-5D6E-409C-BE32-E72D297353CC}">
              <c16:uniqueId val="{00000000-46BF-4B60-9298-68ADD6041D26}"/>
            </c:ext>
          </c:extLst>
        </c:ser>
        <c:ser>
          <c:idx val="4"/>
          <c:order val="1"/>
          <c:tx>
            <c:strRef>
              <c:f>'Pasture Ins Calc (HIDE)'!$G$175</c:f>
              <c:strCache>
                <c:ptCount val="1"/>
                <c:pt idx="0">
                  <c:v>Pasture Days Covered by AgriInsurance</c:v>
                </c:pt>
              </c:strCache>
            </c:strRef>
          </c:tx>
          <c:spPr>
            <a:solidFill>
              <a:schemeClr val="bg1">
                <a:lumMod val="65000"/>
              </a:schemeClr>
            </a:solidFill>
          </c:spPr>
          <c:invertIfNegative val="0"/>
          <c:dPt>
            <c:idx val="1"/>
            <c:invertIfNegative val="0"/>
            <c:bubble3D val="0"/>
            <c:spPr>
              <a:solidFill>
                <a:schemeClr val="bg1">
                  <a:lumMod val="85000"/>
                </a:schemeClr>
              </a:solidFill>
            </c:spPr>
            <c:extLst>
              <c:ext xmlns:c16="http://schemas.microsoft.com/office/drawing/2014/chart" uri="{C3380CC4-5D6E-409C-BE32-E72D297353CC}">
                <c16:uniqueId val="{00000000-B06A-438C-9C5B-BBDD50D70D46}"/>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'Pasture Ins Calc (HIDE)'!$D$184:$D$186</c:f>
              <c:numCache>
                <c:formatCode>General</c:formatCode>
                <c:ptCount val="3"/>
              </c:numCache>
            </c:numRef>
          </c:cat>
          <c:val>
            <c:numRef>
              <c:f>'Pasture Ins Calc (HIDE)'!$G$176:$G$178</c:f>
              <c:numCache>
                <c:formatCode>#,##0</c:formatCode>
                <c:ptCount val="3"/>
                <c:pt idx="1">
                  <c:v>121</c:v>
                </c:pt>
              </c:numCache>
            </c:numRef>
          </c:val>
          <c:extLst>
            <c:ext xmlns:c16="http://schemas.microsoft.com/office/drawing/2014/chart" uri="{C3380CC4-5D6E-409C-BE32-E72D297353CC}">
              <c16:uniqueId val="{00000001-46BF-4B60-9298-68ADD6041D26}"/>
            </c:ext>
          </c:extLst>
        </c:ser>
        <c:dLbls>
          <c:showLegendKey val="0"/>
          <c:showVal val="0"/>
          <c:showCatName val="0"/>
          <c:showSerName val="0"/>
          <c:showPercent val="0"/>
          <c:showBubbleSize val="0"/>
        </c:dLbls>
        <c:gapWidth val="150"/>
        <c:axId val="518672864"/>
        <c:axId val="1"/>
      </c:barChart>
      <c:lineChart>
        <c:grouping val="standard"/>
        <c:varyColors val="0"/>
        <c:ser>
          <c:idx val="0"/>
          <c:order val="2"/>
          <c:tx>
            <c:strRef>
              <c:f>'Pasture Ins Calc (HIDE)'!$H$175</c:f>
              <c:strCache>
                <c:ptCount val="1"/>
                <c:pt idx="0">
                  <c:v>101 Actual Grazing Days </c:v>
                </c:pt>
              </c:strCache>
            </c:strRef>
          </c:tx>
          <c:spPr>
            <a:ln w="44450">
              <a:solidFill>
                <a:schemeClr val="tx1"/>
              </a:solidFill>
            </a:ln>
          </c:spPr>
          <c:marker>
            <c:symbol val="none"/>
          </c:marker>
          <c:dLbls>
            <c:dLbl>
              <c:idx val="0"/>
              <c:layout>
                <c:manualLayout>
                  <c:x val="-0.10327903811234786"/>
                  <c:y val="6.1480992295317921E-2"/>
                </c:manualLayout>
              </c:layout>
              <c:spPr>
                <a:noFill/>
                <a:ln>
                  <a:noFill/>
                </a:ln>
                <a:effectLst/>
              </c:spPr>
              <c:txPr>
                <a:bodyPr wrap="square" lIns="38100" tIns="19050" rIns="38100" bIns="19050" anchor="ctr">
                  <a:noAutofit/>
                </a:bodyPr>
                <a:lstStyle/>
                <a:p>
                  <a:pPr>
                    <a:defRPr sz="1400" b="1"/>
                  </a:pPr>
                  <a:endParaRPr lang="en-US"/>
                </a:p>
              </c:txPr>
              <c:dLblPos val="r"/>
              <c:showLegendKey val="0"/>
              <c:showVal val="0"/>
              <c:showCatName val="0"/>
              <c:showSerName val="1"/>
              <c:showPercent val="0"/>
              <c:showBubbleSize val="0"/>
              <c:separator> </c:separator>
              <c:extLst>
                <c:ext xmlns:c15="http://schemas.microsoft.com/office/drawing/2012/chart" uri="{CE6537A1-D6FC-4f65-9D91-7224C49458BB}">
                  <c15:layout>
                    <c:manualLayout>
                      <c:w val="0.70727653698786241"/>
                      <c:h val="9.2356955380577421E-2"/>
                    </c:manualLayout>
                  </c15:layout>
                </c:ext>
                <c:ext xmlns:c16="http://schemas.microsoft.com/office/drawing/2014/chart" uri="{C3380CC4-5D6E-409C-BE32-E72D297353CC}">
                  <c16:uniqueId val="{00000002-46BF-4B60-9298-68ADD6041D26}"/>
                </c:ext>
              </c:extLst>
            </c:dLbl>
            <c:dLbl>
              <c:idx val="1"/>
              <c:delete val="1"/>
              <c:extLst>
                <c:ext xmlns:c15="http://schemas.microsoft.com/office/drawing/2012/chart" uri="{CE6537A1-D6FC-4f65-9D91-7224C49458BB}"/>
                <c:ext xmlns:c16="http://schemas.microsoft.com/office/drawing/2014/chart" uri="{C3380CC4-5D6E-409C-BE32-E72D297353CC}">
                  <c16:uniqueId val="{00000003-46BF-4B60-9298-68ADD6041D26}"/>
                </c:ext>
              </c:extLst>
            </c:dLbl>
            <c:dLbl>
              <c:idx val="2"/>
              <c:delete val="1"/>
              <c:extLst>
                <c:ext xmlns:c15="http://schemas.microsoft.com/office/drawing/2012/chart" uri="{CE6537A1-D6FC-4f65-9D91-7224C49458BB}"/>
                <c:ext xmlns:c16="http://schemas.microsoft.com/office/drawing/2014/chart" uri="{C3380CC4-5D6E-409C-BE32-E72D297353CC}">
                  <c16:uniqueId val="{00000004-46BF-4B60-9298-68ADD6041D26}"/>
                </c:ext>
              </c:extLst>
            </c:dLbl>
            <c:spPr>
              <a:noFill/>
              <a:ln>
                <a:noFill/>
              </a:ln>
              <a:effectLst/>
            </c:spPr>
            <c:txPr>
              <a:bodyPr wrap="square" lIns="38100" tIns="19050" rIns="38100" bIns="19050" anchor="ctr">
                <a:spAutoFit/>
              </a:bodyPr>
              <a:lstStyle/>
              <a:p>
                <a:pPr>
                  <a:defRPr sz="1400"/>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val>
            <c:numRef>
              <c:f>'Pasture Ins Calc (HIDE)'!$H$176:$H$178</c:f>
              <c:numCache>
                <c:formatCode>#,##0</c:formatCode>
                <c:ptCount val="3"/>
                <c:pt idx="0">
                  <c:v>101</c:v>
                </c:pt>
                <c:pt idx="1">
                  <c:v>101</c:v>
                </c:pt>
                <c:pt idx="2">
                  <c:v>101</c:v>
                </c:pt>
              </c:numCache>
            </c:numRef>
          </c:val>
          <c:smooth val="0"/>
          <c:extLst>
            <c:ext xmlns:c16="http://schemas.microsoft.com/office/drawing/2014/chart" uri="{C3380CC4-5D6E-409C-BE32-E72D297353CC}">
              <c16:uniqueId val="{00000005-46BF-4B60-9298-68ADD6041D26}"/>
            </c:ext>
          </c:extLst>
        </c:ser>
        <c:dLbls>
          <c:showLegendKey val="0"/>
          <c:showVal val="0"/>
          <c:showCatName val="0"/>
          <c:showSerName val="0"/>
          <c:showPercent val="0"/>
          <c:showBubbleSize val="0"/>
        </c:dLbls>
        <c:marker val="1"/>
        <c:smooth val="0"/>
        <c:axId val="518672864"/>
        <c:axId val="1"/>
      </c:lineChart>
      <c:catAx>
        <c:axId val="518672864"/>
        <c:scaling>
          <c:orientation val="minMax"/>
        </c:scaling>
        <c:delete val="0"/>
        <c:axPos val="b"/>
        <c:numFmt formatCode="General" sourceLinked="1"/>
        <c:majorTickMark val="cross"/>
        <c:minorTickMark val="none"/>
        <c:tickLblPos val="low"/>
        <c:txPr>
          <a:bodyPr rot="0" vert="horz"/>
          <a:lstStyle/>
          <a:p>
            <a:pPr>
              <a:defRPr sz="14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sz="1200"/>
                  <a:t>Days on Pasture</a:t>
                </a:r>
              </a:p>
            </c:rich>
          </c:tx>
          <c:layout>
            <c:manualLayout>
              <c:xMode val="edge"/>
              <c:yMode val="edge"/>
              <c:x val="3.5786179244006788E-2"/>
              <c:y val="0.29996985860638392"/>
            </c:manualLayout>
          </c:layout>
          <c:overlay val="0"/>
        </c:title>
        <c:numFmt formatCode="General" sourceLinked="1"/>
        <c:majorTickMark val="in"/>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518672864"/>
        <c:crosses val="autoZero"/>
        <c:crossBetween val="between"/>
        <c:majorUnit val="25"/>
      </c:valAx>
      <c:spPr>
        <a:noFill/>
        <a:ln>
          <a:solidFill>
            <a:schemeClr val="tx1"/>
          </a:solidFill>
        </a:ln>
      </c:spPr>
    </c:plotArea>
    <c:legend>
      <c:legendPos val="b"/>
      <c:legendEntry>
        <c:idx val="2"/>
        <c:delete val="1"/>
      </c:legendEntry>
      <c:layout>
        <c:manualLayout>
          <c:xMode val="edge"/>
          <c:yMode val="edge"/>
          <c:x val="3.1612836238316455E-2"/>
          <c:y val="0.81120792215383564"/>
          <c:w val="0.88324143900437324"/>
          <c:h val="0.15326109856609793"/>
        </c:manualLayout>
      </c:layou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gov.mb.ca/agriculture/farm-management/farm-business-management-contacts.html" TargetMode="External"/><Relationship Id="rId2" Type="http://schemas.openxmlformats.org/officeDocument/2006/relationships/hyperlink" Target="https://www.gov.mb.ca/agriculture/farm-management/farm-machinery/index.html" TargetMode="External"/><Relationship Id="rId1" Type="http://schemas.openxmlformats.org/officeDocument/2006/relationships/image" Target="../media/image1.jpeg"/><Relationship Id="rId6" Type="http://schemas.openxmlformats.org/officeDocument/2006/relationships/image" Target="../media/image3.png"/><Relationship Id="rId5" Type="http://schemas.openxmlformats.org/officeDocument/2006/relationships/hyperlink" Target="https://www.gov.mb.ca/agriculture/farm-management/cost-production/index.html" TargetMode="External"/><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gov.mb.ca/agriculture/farm-management/farm-business-management-contacts.html" TargetMode="External"/></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hyperlink" Target="https://www.gov.mb.ca/agriculture/farm-management/farmland-buildings/index.html"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361950</xdr:colOff>
      <xdr:row>0</xdr:row>
      <xdr:rowOff>104775</xdr:rowOff>
    </xdr:from>
    <xdr:to>
      <xdr:col>8</xdr:col>
      <xdr:colOff>514350</xdr:colOff>
      <xdr:row>2</xdr:row>
      <xdr:rowOff>47625</xdr:rowOff>
    </xdr:to>
    <xdr:pic>
      <xdr:nvPicPr>
        <xdr:cNvPr id="12847" name="Picture 2" descr="Manitoba Government Logo">
          <a:extLst>
            <a:ext uri="{FF2B5EF4-FFF2-40B4-BE49-F238E27FC236}">
              <a16:creationId xmlns:a16="http://schemas.microsoft.com/office/drawing/2014/main" id="{00000000-0008-0000-0000-00002F3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104775"/>
          <a:ext cx="16764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476250</xdr:colOff>
      <xdr:row>42</xdr:row>
      <xdr:rowOff>209550</xdr:rowOff>
    </xdr:from>
    <xdr:to>
      <xdr:col>6</xdr:col>
      <xdr:colOff>539097</xdr:colOff>
      <xdr:row>44</xdr:row>
      <xdr:rowOff>19050</xdr:rowOff>
    </xdr:to>
    <xdr:sp macro="" textlink="">
      <xdr:nvSpPr>
        <xdr:cNvPr id="3" name="TextBox 2">
          <a:hlinkClick xmlns:r="http://schemas.openxmlformats.org/officeDocument/2006/relationships" r:id="rId2" tooltip="Click here Farm Machinery Cost of Production Guide"/>
          <a:extLst>
            <a:ext uri="{FF2B5EF4-FFF2-40B4-BE49-F238E27FC236}">
              <a16:creationId xmlns:a16="http://schemas.microsoft.com/office/drawing/2014/main" id="{00000000-0008-0000-0000-000003000000}"/>
            </a:ext>
          </a:extLst>
        </xdr:cNvPr>
        <xdr:cNvSpPr txBox="1"/>
      </xdr:nvSpPr>
      <xdr:spPr>
        <a:xfrm>
          <a:off x="476250" y="9963150"/>
          <a:ext cx="4463397" cy="2952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itchFamily="34" charset="0"/>
              <a:cs typeface="Arial" pitchFamily="34" charset="0"/>
            </a:rPr>
            <a:t>The Farm Machinery Cost of Production Guide</a:t>
          </a:r>
          <a:endParaRPr lang="en-CA" sz="1400" b="0" i="1" u="none" baseline="0">
            <a:solidFill>
              <a:sysClr val="windowText" lastClr="000000"/>
            </a:solidFill>
            <a:latin typeface="Arial" pitchFamily="34" charset="0"/>
            <a:cs typeface="Arial" pitchFamily="34" charset="0"/>
          </a:endParaRPr>
        </a:p>
      </xdr:txBody>
    </xdr:sp>
    <xdr:clientData/>
  </xdr:twoCellAnchor>
  <xdr:twoCellAnchor editAs="oneCell">
    <xdr:from>
      <xdr:col>2</xdr:col>
      <xdr:colOff>76200</xdr:colOff>
      <xdr:row>45</xdr:row>
      <xdr:rowOff>76200</xdr:rowOff>
    </xdr:from>
    <xdr:to>
      <xdr:col>8</xdr:col>
      <xdr:colOff>552450</xdr:colOff>
      <xdr:row>50</xdr:row>
      <xdr:rowOff>57150</xdr:rowOff>
    </xdr:to>
    <xdr:pic>
      <xdr:nvPicPr>
        <xdr:cNvPr id="12849" name="Picture 6" descr="Farm Management contact info.">
          <a:hlinkClick xmlns:r="http://schemas.openxmlformats.org/officeDocument/2006/relationships" r:id="rId3" tooltip="Click here for a list of Farm Management contacts."/>
          <a:extLst>
            <a:ext uri="{FF2B5EF4-FFF2-40B4-BE49-F238E27FC236}">
              <a16:creationId xmlns:a16="http://schemas.microsoft.com/office/drawing/2014/main" id="{00000000-0008-0000-0000-0000313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28750" y="10544175"/>
          <a:ext cx="50482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450061</xdr:colOff>
      <xdr:row>37</xdr:row>
      <xdr:rowOff>76200</xdr:rowOff>
    </xdr:from>
    <xdr:to>
      <xdr:col>6</xdr:col>
      <xdr:colOff>73814</xdr:colOff>
      <xdr:row>41</xdr:row>
      <xdr:rowOff>238125</xdr:rowOff>
    </xdr:to>
    <xdr:pic>
      <xdr:nvPicPr>
        <xdr:cNvPr id="12850" name="Picture 1" descr="QR code leading to all cost of production calculators.">
          <a:hlinkClick xmlns:r="http://schemas.openxmlformats.org/officeDocument/2006/relationships" r:id="rId5" tooltip="Click here for list of Cost of Production Guides"/>
          <a:extLst>
            <a:ext uri="{FF2B5EF4-FFF2-40B4-BE49-F238E27FC236}">
              <a16:creationId xmlns:a16="http://schemas.microsoft.com/office/drawing/2014/main" id="{00000000-0008-0000-0000-00003232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3406621" y="8492490"/>
          <a:ext cx="1193473" cy="1183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914400</xdr:colOff>
      <xdr:row>59</xdr:row>
      <xdr:rowOff>47625</xdr:rowOff>
    </xdr:from>
    <xdr:to>
      <xdr:col>6</xdr:col>
      <xdr:colOff>228600</xdr:colOff>
      <xdr:row>63</xdr:row>
      <xdr:rowOff>180975</xdr:rowOff>
    </xdr:to>
    <xdr:pic>
      <xdr:nvPicPr>
        <xdr:cNvPr id="9852" name="Picture 6" descr="Farm Management contact info.">
          <a:hlinkClick xmlns:r="http://schemas.openxmlformats.org/officeDocument/2006/relationships" r:id="rId1" tooltip="Click here for a list of Farm Management contacts."/>
          <a:extLst>
            <a:ext uri="{FF2B5EF4-FFF2-40B4-BE49-F238E27FC236}">
              <a16:creationId xmlns:a16="http://schemas.microsoft.com/office/drawing/2014/main" id="{00000000-0008-0000-0600-00007C2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575" y="10115550"/>
          <a:ext cx="40005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342900</xdr:colOff>
      <xdr:row>0</xdr:row>
      <xdr:rowOff>180975</xdr:rowOff>
    </xdr:from>
    <xdr:to>
      <xdr:col>9</xdr:col>
      <xdr:colOff>752475</xdr:colOff>
      <xdr:row>1</xdr:row>
      <xdr:rowOff>123825</xdr:rowOff>
    </xdr:to>
    <xdr:pic>
      <xdr:nvPicPr>
        <xdr:cNvPr id="613470" name="Picture 2" descr="GovMB_Logo_blk10.jpg">
          <a:extLst>
            <a:ext uri="{FF2B5EF4-FFF2-40B4-BE49-F238E27FC236}">
              <a16:creationId xmlns:a16="http://schemas.microsoft.com/office/drawing/2014/main" id="{00000000-0008-0000-0900-00005E5C0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3825" y="180975"/>
          <a:ext cx="15335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2143125</xdr:colOff>
      <xdr:row>80</xdr:row>
      <xdr:rowOff>47625</xdr:rowOff>
    </xdr:from>
    <xdr:to>
      <xdr:col>4</xdr:col>
      <xdr:colOff>304800</xdr:colOff>
      <xdr:row>85</xdr:row>
      <xdr:rowOff>66675</xdr:rowOff>
    </xdr:to>
    <xdr:pic>
      <xdr:nvPicPr>
        <xdr:cNvPr id="613471" name="Picture 3">
          <a:hlinkClick xmlns:r="http://schemas.openxmlformats.org/officeDocument/2006/relationships" r:id="rId2" tooltip="Click here for a list of Farm Management contacts."/>
          <a:extLst>
            <a:ext uri="{FF2B5EF4-FFF2-40B4-BE49-F238E27FC236}">
              <a16:creationId xmlns:a16="http://schemas.microsoft.com/office/drawing/2014/main" id="{00000000-0008-0000-0900-00005F5C09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43150" y="15325725"/>
          <a:ext cx="3733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733425</xdr:colOff>
      <xdr:row>89</xdr:row>
      <xdr:rowOff>95250</xdr:rowOff>
    </xdr:from>
    <xdr:to>
      <xdr:col>14</xdr:col>
      <xdr:colOff>542925</xdr:colOff>
      <xdr:row>114</xdr:row>
      <xdr:rowOff>133350</xdr:rowOff>
    </xdr:to>
    <xdr:graphicFrame macro="">
      <xdr:nvGraphicFramePr>
        <xdr:cNvPr id="8" name="Chart 5">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142874</xdr:colOff>
      <xdr:row>53</xdr:row>
      <xdr:rowOff>152399</xdr:rowOff>
    </xdr:from>
    <xdr:to>
      <xdr:col>4</xdr:col>
      <xdr:colOff>152400</xdr:colOff>
      <xdr:row>68</xdr:row>
      <xdr:rowOff>152399</xdr:rowOff>
    </xdr:to>
    <xdr:graphicFrame macro="">
      <xdr:nvGraphicFramePr>
        <xdr:cNvPr id="12" name="Chart 3">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485775</xdr:colOff>
      <xdr:row>53</xdr:row>
      <xdr:rowOff>161925</xdr:rowOff>
    </xdr:from>
    <xdr:to>
      <xdr:col>9</xdr:col>
      <xdr:colOff>781050</xdr:colOff>
      <xdr:row>68</xdr:row>
      <xdr:rowOff>133350</xdr:rowOff>
    </xdr:to>
    <xdr:graphicFrame macro="">
      <xdr:nvGraphicFramePr>
        <xdr:cNvPr id="13" name="Chart 5">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1647825</xdr:colOff>
      <xdr:row>56</xdr:row>
      <xdr:rowOff>57150</xdr:rowOff>
    </xdr:from>
    <xdr:to>
      <xdr:col>2</xdr:col>
      <xdr:colOff>2971800</xdr:colOff>
      <xdr:row>57</xdr:row>
      <xdr:rowOff>95250</xdr:rowOff>
    </xdr:to>
    <xdr:sp macro="" textlink="$B$174">
      <xdr:nvSpPr>
        <xdr:cNvPr id="2" name="TextBox 1">
          <a:extLst>
            <a:ext uri="{FF2B5EF4-FFF2-40B4-BE49-F238E27FC236}">
              <a16:creationId xmlns:a16="http://schemas.microsoft.com/office/drawing/2014/main" id="{00000000-0008-0000-0900-000002000000}"/>
            </a:ext>
          </a:extLst>
        </xdr:cNvPr>
        <xdr:cNvSpPr txBox="1"/>
      </xdr:nvSpPr>
      <xdr:spPr>
        <a:xfrm>
          <a:off x="3400425" y="11287125"/>
          <a:ext cx="13239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1B2B590A-E43A-4D06-8585-58588D84B055}" type="TxLink">
            <a:rPr lang="en-US" sz="1000" b="0" i="0" u="none" strike="noStrike">
              <a:solidFill>
                <a:srgbClr val="000000"/>
              </a:solidFill>
              <a:latin typeface="Arial"/>
              <a:cs typeface="Arial"/>
            </a:rPr>
            <a:pPr algn="ctr"/>
            <a:t>Premium = $752</a:t>
          </a:fld>
          <a:endParaRPr lang="en-CA" sz="900"/>
        </a:p>
      </xdr:txBody>
    </xdr:sp>
    <xdr:clientData/>
  </xdr:twoCellAnchor>
  <xdr:twoCellAnchor>
    <xdr:from>
      <xdr:col>8</xdr:col>
      <xdr:colOff>409575</xdr:colOff>
      <xdr:row>63</xdr:row>
      <xdr:rowOff>0</xdr:rowOff>
    </xdr:from>
    <xdr:to>
      <xdr:col>9</xdr:col>
      <xdr:colOff>581025</xdr:colOff>
      <xdr:row>64</xdr:row>
      <xdr:rowOff>38100</xdr:rowOff>
    </xdr:to>
    <xdr:sp macro="" textlink="$B$174">
      <xdr:nvSpPr>
        <xdr:cNvPr id="15" name="TextBox 14">
          <a:extLst>
            <a:ext uri="{FF2B5EF4-FFF2-40B4-BE49-F238E27FC236}">
              <a16:creationId xmlns:a16="http://schemas.microsoft.com/office/drawing/2014/main" id="{00000000-0008-0000-0900-00000F000000}"/>
            </a:ext>
          </a:extLst>
        </xdr:cNvPr>
        <xdr:cNvSpPr txBox="1"/>
      </xdr:nvSpPr>
      <xdr:spPr>
        <a:xfrm>
          <a:off x="8677275" y="12630150"/>
          <a:ext cx="12954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1B2B590A-E43A-4D06-8585-58588D84B055}" type="TxLink">
            <a:rPr lang="en-US" sz="1000" b="0" i="0" u="none" strike="noStrike">
              <a:solidFill>
                <a:srgbClr val="000000"/>
              </a:solidFill>
              <a:latin typeface="Arial"/>
              <a:cs typeface="Arial"/>
            </a:rPr>
            <a:pPr algn="ctr"/>
            <a:t>Premium = $752</a:t>
          </a:fld>
          <a:endParaRPr lang="en-CA"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542925</xdr:colOff>
      <xdr:row>19</xdr:row>
      <xdr:rowOff>1</xdr:rowOff>
    </xdr:from>
    <xdr:to>
      <xdr:col>14</xdr:col>
      <xdr:colOff>247650</xdr:colOff>
      <xdr:row>39</xdr:row>
      <xdr:rowOff>52388</xdr:rowOff>
    </xdr:to>
    <xdr:graphicFrame macro="">
      <xdr:nvGraphicFramePr>
        <xdr:cNvPr id="67379" name="Chart 7">
          <a:extLst>
            <a:ext uri="{FF2B5EF4-FFF2-40B4-BE49-F238E27FC236}">
              <a16:creationId xmlns:a16="http://schemas.microsoft.com/office/drawing/2014/main" id="{00000000-0008-0000-0A00-000033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514350</xdr:colOff>
      <xdr:row>41</xdr:row>
      <xdr:rowOff>123825</xdr:rowOff>
    </xdr:from>
    <xdr:to>
      <xdr:col>14</xdr:col>
      <xdr:colOff>180975</xdr:colOff>
      <xdr:row>62</xdr:row>
      <xdr:rowOff>9525</xdr:rowOff>
    </xdr:to>
    <xdr:graphicFrame macro="">
      <xdr:nvGraphicFramePr>
        <xdr:cNvPr id="67380" name="Chart 7">
          <a:extLst>
            <a:ext uri="{FF2B5EF4-FFF2-40B4-BE49-F238E27FC236}">
              <a16:creationId xmlns:a16="http://schemas.microsoft.com/office/drawing/2014/main" id="{00000000-0008-0000-0A00-000034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476250</xdr:colOff>
      <xdr:row>2</xdr:row>
      <xdr:rowOff>0</xdr:rowOff>
    </xdr:from>
    <xdr:to>
      <xdr:col>14</xdr:col>
      <xdr:colOff>200025</xdr:colOff>
      <xdr:row>20</xdr:row>
      <xdr:rowOff>76200</xdr:rowOff>
    </xdr:to>
    <xdr:graphicFrame macro="">
      <xdr:nvGraphicFramePr>
        <xdr:cNvPr id="67381" name="Chart 7">
          <a:extLst>
            <a:ext uri="{FF2B5EF4-FFF2-40B4-BE49-F238E27FC236}">
              <a16:creationId xmlns:a16="http://schemas.microsoft.com/office/drawing/2014/main" id="{00000000-0008-0000-0A00-000035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61912</xdr:colOff>
      <xdr:row>64</xdr:row>
      <xdr:rowOff>30956</xdr:rowOff>
    </xdr:from>
    <xdr:to>
      <xdr:col>14</xdr:col>
      <xdr:colOff>269081</xdr:colOff>
      <xdr:row>82</xdr:row>
      <xdr:rowOff>107156</xdr:rowOff>
    </xdr:to>
    <xdr:graphicFrame macro="">
      <xdr:nvGraphicFramePr>
        <xdr:cNvPr id="67382" name="Chart 7">
          <a:extLst>
            <a:ext uri="{FF2B5EF4-FFF2-40B4-BE49-F238E27FC236}">
              <a16:creationId xmlns:a16="http://schemas.microsoft.com/office/drawing/2014/main" id="{00000000-0008-0000-0A00-000036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57150</xdr:colOff>
      <xdr:row>87</xdr:row>
      <xdr:rowOff>9525</xdr:rowOff>
    </xdr:from>
    <xdr:to>
      <xdr:col>20</xdr:col>
      <xdr:colOff>323850</xdr:colOff>
      <xdr:row>104</xdr:row>
      <xdr:rowOff>142875</xdr:rowOff>
    </xdr:to>
    <xdr:graphicFrame macro="">
      <xdr:nvGraphicFramePr>
        <xdr:cNvPr id="67383" name="Chart 7">
          <a:extLst>
            <a:ext uri="{FF2B5EF4-FFF2-40B4-BE49-F238E27FC236}">
              <a16:creationId xmlns:a16="http://schemas.microsoft.com/office/drawing/2014/main" id="{00000000-0008-0000-0A00-000037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485775</xdr:colOff>
      <xdr:row>109</xdr:row>
      <xdr:rowOff>447675</xdr:rowOff>
    </xdr:from>
    <xdr:to>
      <xdr:col>20</xdr:col>
      <xdr:colOff>238125</xdr:colOff>
      <xdr:row>124</xdr:row>
      <xdr:rowOff>152400</xdr:rowOff>
    </xdr:to>
    <xdr:graphicFrame macro="">
      <xdr:nvGraphicFramePr>
        <xdr:cNvPr id="67384" name="Chart 7">
          <a:extLst>
            <a:ext uri="{FF2B5EF4-FFF2-40B4-BE49-F238E27FC236}">
              <a16:creationId xmlns:a16="http://schemas.microsoft.com/office/drawing/2014/main" id="{00000000-0008-0000-0A00-000038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447675</xdr:colOff>
      <xdr:row>109</xdr:row>
      <xdr:rowOff>447675</xdr:rowOff>
    </xdr:from>
    <xdr:to>
      <xdr:col>30</xdr:col>
      <xdr:colOff>200025</xdr:colOff>
      <xdr:row>124</xdr:row>
      <xdr:rowOff>152400</xdr:rowOff>
    </xdr:to>
    <xdr:graphicFrame macro="">
      <xdr:nvGraphicFramePr>
        <xdr:cNvPr id="67385" name="Chart 7">
          <a:extLst>
            <a:ext uri="{FF2B5EF4-FFF2-40B4-BE49-F238E27FC236}">
              <a16:creationId xmlns:a16="http://schemas.microsoft.com/office/drawing/2014/main" id="{00000000-0008-0000-0A00-000039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0</xdr:colOff>
      <xdr:row>87</xdr:row>
      <xdr:rowOff>0</xdr:rowOff>
    </xdr:from>
    <xdr:to>
      <xdr:col>30</xdr:col>
      <xdr:colOff>266700</xdr:colOff>
      <xdr:row>104</xdr:row>
      <xdr:rowOff>133350</xdr:rowOff>
    </xdr:to>
    <xdr:graphicFrame macro="">
      <xdr:nvGraphicFramePr>
        <xdr:cNvPr id="67386" name="Chart 7">
          <a:extLst>
            <a:ext uri="{FF2B5EF4-FFF2-40B4-BE49-F238E27FC236}">
              <a16:creationId xmlns:a16="http://schemas.microsoft.com/office/drawing/2014/main" id="{00000000-0008-0000-0A00-00003A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31</xdr:col>
      <xdr:colOff>0</xdr:colOff>
      <xdr:row>87</xdr:row>
      <xdr:rowOff>0</xdr:rowOff>
    </xdr:from>
    <xdr:to>
      <xdr:col>40</xdr:col>
      <xdr:colOff>266700</xdr:colOff>
      <xdr:row>104</xdr:row>
      <xdr:rowOff>133350</xdr:rowOff>
    </xdr:to>
    <xdr:graphicFrame macro="">
      <xdr:nvGraphicFramePr>
        <xdr:cNvPr id="67387" name="Chart 7">
          <a:extLst>
            <a:ext uri="{FF2B5EF4-FFF2-40B4-BE49-F238E27FC236}">
              <a16:creationId xmlns:a16="http://schemas.microsoft.com/office/drawing/2014/main" id="{00000000-0008-0000-0A00-00003B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30</xdr:col>
      <xdr:colOff>466725</xdr:colOff>
      <xdr:row>109</xdr:row>
      <xdr:rowOff>485775</xdr:rowOff>
    </xdr:from>
    <xdr:to>
      <xdr:col>40</xdr:col>
      <xdr:colOff>219075</xdr:colOff>
      <xdr:row>125</xdr:row>
      <xdr:rowOff>28575</xdr:rowOff>
    </xdr:to>
    <xdr:graphicFrame macro="">
      <xdr:nvGraphicFramePr>
        <xdr:cNvPr id="67388" name="Chart 10">
          <a:extLst>
            <a:ext uri="{FF2B5EF4-FFF2-40B4-BE49-F238E27FC236}">
              <a16:creationId xmlns:a16="http://schemas.microsoft.com/office/drawing/2014/main" id="{00000000-0008-0000-0A00-00003C0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64</xdr:row>
      <xdr:rowOff>0</xdr:rowOff>
    </xdr:from>
    <xdr:to>
      <xdr:col>32</xdr:col>
      <xdr:colOff>207169</xdr:colOff>
      <xdr:row>82</xdr:row>
      <xdr:rowOff>76200</xdr:rowOff>
    </xdr:to>
    <xdr:graphicFrame macro="">
      <xdr:nvGraphicFramePr>
        <xdr:cNvPr id="12" name="Chart 7">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0.68399</cdr:x>
      <cdr:y>0.92802</cdr:y>
    </cdr:from>
    <cdr:to>
      <cdr:x>1</cdr:x>
      <cdr:y>1</cdr:y>
    </cdr:to>
    <cdr:sp macro="" textlink="">
      <cdr:nvSpPr>
        <cdr:cNvPr id="2" name="TextBox 1"/>
        <cdr:cNvSpPr txBox="1"/>
      </cdr:nvSpPr>
      <cdr:spPr>
        <a:xfrm xmlns:a="http://schemas.openxmlformats.org/drawingml/2006/main">
          <a:off x="3133725" y="3376647"/>
          <a:ext cx="1447800" cy="261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t>
          </a:r>
        </a:p>
      </cdr:txBody>
    </cdr:sp>
  </cdr:relSizeAnchor>
</c:userShapes>
</file>

<file path=xl/drawings/drawing14.xml><?xml version="1.0" encoding="utf-8"?>
<c:userShapes xmlns:c="http://schemas.openxmlformats.org/drawingml/2006/chart">
  <cdr:relSizeAnchor xmlns:cdr="http://schemas.openxmlformats.org/drawingml/2006/chartDrawing">
    <cdr:from>
      <cdr:x>0.69811</cdr:x>
      <cdr:y>0.92802</cdr:y>
    </cdr:from>
    <cdr:to>
      <cdr:x>1</cdr:x>
      <cdr:y>1</cdr:y>
    </cdr:to>
    <cdr:sp macro="" textlink="">
      <cdr:nvSpPr>
        <cdr:cNvPr id="2" name="TextBox 1"/>
        <cdr:cNvSpPr txBox="1"/>
      </cdr:nvSpPr>
      <cdr:spPr>
        <a:xfrm xmlns:a="http://schemas.openxmlformats.org/drawingml/2006/main">
          <a:off x="3171825" y="3376647"/>
          <a:ext cx="1371600" cy="261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t>
          </a:r>
        </a:p>
      </cdr:txBody>
    </cdr:sp>
  </cdr:relSizeAnchor>
</c:userShapes>
</file>

<file path=xl/drawings/drawing15.xml><?xml version="1.0" encoding="utf-8"?>
<c:userShapes xmlns:c="http://schemas.openxmlformats.org/drawingml/2006/chart">
  <cdr:relSizeAnchor xmlns:cdr="http://schemas.openxmlformats.org/drawingml/2006/chartDrawing">
    <cdr:from>
      <cdr:x>0.66253</cdr:x>
      <cdr:y>0.92802</cdr:y>
    </cdr:from>
    <cdr:to>
      <cdr:x>1</cdr:x>
      <cdr:y>1</cdr:y>
    </cdr:to>
    <cdr:sp macro="" textlink="">
      <cdr:nvSpPr>
        <cdr:cNvPr id="2" name="TextBox 1"/>
        <cdr:cNvSpPr txBox="1"/>
      </cdr:nvSpPr>
      <cdr:spPr>
        <a:xfrm xmlns:a="http://schemas.openxmlformats.org/drawingml/2006/main">
          <a:off x="3048000" y="3102626"/>
          <a:ext cx="1552575" cy="2406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t>
          </a:r>
        </a:p>
      </cdr:txBody>
    </cdr:sp>
  </cdr:relSizeAnchor>
</c:userShapes>
</file>

<file path=xl/drawings/drawing16.xml><?xml version="1.0" encoding="utf-8"?>
<c:userShapes xmlns:c="http://schemas.openxmlformats.org/drawingml/2006/chart">
  <cdr:relSizeAnchor xmlns:cdr="http://schemas.openxmlformats.org/drawingml/2006/chartDrawing">
    <cdr:from>
      <cdr:x>0.68323</cdr:x>
      <cdr:y>0.92992</cdr:y>
    </cdr:from>
    <cdr:to>
      <cdr:x>1</cdr:x>
      <cdr:y>1</cdr:y>
    </cdr:to>
    <cdr:sp macro="" textlink="">
      <cdr:nvSpPr>
        <cdr:cNvPr id="2" name="TextBox 1"/>
        <cdr:cNvSpPr txBox="1"/>
      </cdr:nvSpPr>
      <cdr:spPr>
        <a:xfrm xmlns:a="http://schemas.openxmlformats.org/drawingml/2006/main">
          <a:off x="3045618" y="3159919"/>
          <a:ext cx="1412082"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a:t>
          </a:r>
        </a:p>
      </cdr:txBody>
    </cdr:sp>
  </cdr:relSizeAnchor>
</c:userShapes>
</file>

<file path=xl/drawings/drawing17.xml><?xml version="1.0" encoding="utf-8"?>
<c:userShapes xmlns:c="http://schemas.openxmlformats.org/drawingml/2006/chart">
  <cdr:relSizeAnchor xmlns:cdr="http://schemas.openxmlformats.org/drawingml/2006/chartDrawing">
    <cdr:from>
      <cdr:x>0.40268</cdr:x>
      <cdr:y>0.92802</cdr:y>
    </cdr:from>
    <cdr:to>
      <cdr:x>1</cdr:x>
      <cdr:y>1</cdr:y>
    </cdr:to>
    <cdr:sp macro="" textlink="">
      <cdr:nvSpPr>
        <cdr:cNvPr id="2" name="TextBox 1"/>
        <cdr:cNvSpPr txBox="1"/>
      </cdr:nvSpPr>
      <cdr:spPr>
        <a:xfrm xmlns:a="http://schemas.openxmlformats.org/drawingml/2006/main">
          <a:off x="1476375" y="3049590"/>
          <a:ext cx="3000375" cy="236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and Resource Development </a:t>
          </a:r>
        </a:p>
      </cdr:txBody>
    </cdr:sp>
  </cdr:relSizeAnchor>
</c:userShapes>
</file>

<file path=xl/drawings/drawing18.xml><?xml version="1.0" encoding="utf-8"?>
<c:userShapes xmlns:c="http://schemas.openxmlformats.org/drawingml/2006/chart">
  <cdr:relSizeAnchor xmlns:cdr="http://schemas.openxmlformats.org/drawingml/2006/chartDrawing">
    <cdr:from>
      <cdr:x>0.40292</cdr:x>
      <cdr:y>0.92802</cdr:y>
    </cdr:from>
    <cdr:to>
      <cdr:x>1</cdr:x>
      <cdr:y>1</cdr:y>
    </cdr:to>
    <cdr:sp macro="" textlink="">
      <cdr:nvSpPr>
        <cdr:cNvPr id="2" name="TextBox 1"/>
        <cdr:cNvSpPr txBox="1"/>
      </cdr:nvSpPr>
      <cdr:spPr>
        <a:xfrm xmlns:a="http://schemas.openxmlformats.org/drawingml/2006/main">
          <a:off x="1476375" y="3049590"/>
          <a:ext cx="3000375" cy="236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and Resource Development </a:t>
          </a:r>
        </a:p>
      </cdr:txBody>
    </cdr:sp>
  </cdr:relSizeAnchor>
</c:userShapes>
</file>

<file path=xl/drawings/drawing19.xml><?xml version="1.0" encoding="utf-8"?>
<c:userShapes xmlns:c="http://schemas.openxmlformats.org/drawingml/2006/chart">
  <cdr:relSizeAnchor xmlns:cdr="http://schemas.openxmlformats.org/drawingml/2006/chartDrawing">
    <cdr:from>
      <cdr:x>0.40292</cdr:x>
      <cdr:y>0.92802</cdr:y>
    </cdr:from>
    <cdr:to>
      <cdr:x>1</cdr:x>
      <cdr:y>1</cdr:y>
    </cdr:to>
    <cdr:sp macro="" textlink="">
      <cdr:nvSpPr>
        <cdr:cNvPr id="2" name="TextBox 1"/>
        <cdr:cNvSpPr txBox="1"/>
      </cdr:nvSpPr>
      <cdr:spPr>
        <a:xfrm xmlns:a="http://schemas.openxmlformats.org/drawingml/2006/main">
          <a:off x="1476375" y="3049590"/>
          <a:ext cx="3000375" cy="236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and Resource Development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28574</xdr:colOff>
      <xdr:row>14</xdr:row>
      <xdr:rowOff>9525</xdr:rowOff>
    </xdr:from>
    <xdr:to>
      <xdr:col>5</xdr:col>
      <xdr:colOff>133350</xdr:colOff>
      <xdr:row>34</xdr:row>
      <xdr:rowOff>114300</xdr:rowOff>
    </xdr:to>
    <xdr:graphicFrame macro="">
      <xdr:nvGraphicFramePr>
        <xdr:cNvPr id="2" name="Chart 7" descr="Impact of stocking rate on pasture cost per day graph.">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200025</xdr:colOff>
      <xdr:row>14</xdr:row>
      <xdr:rowOff>0</xdr:rowOff>
    </xdr:from>
    <xdr:to>
      <xdr:col>10</xdr:col>
      <xdr:colOff>676275</xdr:colOff>
      <xdr:row>34</xdr:row>
      <xdr:rowOff>104775</xdr:rowOff>
    </xdr:to>
    <xdr:graphicFrame macro="">
      <xdr:nvGraphicFramePr>
        <xdr:cNvPr id="3" name="Chart 7" descr="Impact of grazing days on pasture cost per day graph.">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0</xdr:rowOff>
    </xdr:from>
    <xdr:to>
      <xdr:col>5</xdr:col>
      <xdr:colOff>123824</xdr:colOff>
      <xdr:row>55</xdr:row>
      <xdr:rowOff>95250</xdr:rowOff>
    </xdr:to>
    <xdr:graphicFrame macro="">
      <xdr:nvGraphicFramePr>
        <xdr:cNvPr id="4" name="Chart 7" descr="Impact of land value on pasture cost per day (at 8% for 25 years) graph.">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209550</xdr:colOff>
      <xdr:row>35</xdr:row>
      <xdr:rowOff>0</xdr:rowOff>
    </xdr:from>
    <xdr:to>
      <xdr:col>10</xdr:col>
      <xdr:colOff>666750</xdr:colOff>
      <xdr:row>55</xdr:row>
      <xdr:rowOff>104775</xdr:rowOff>
    </xdr:to>
    <xdr:graphicFrame macro="">
      <xdr:nvGraphicFramePr>
        <xdr:cNvPr id="5" name="Chart 7" descr="Impact of owned pasture equity on pasture cost per day (at 8% for 25 years) graph.">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55</xdr:row>
      <xdr:rowOff>142875</xdr:rowOff>
    </xdr:from>
    <xdr:to>
      <xdr:col>5</xdr:col>
      <xdr:colOff>123825</xdr:colOff>
      <xdr:row>76</xdr:row>
      <xdr:rowOff>85725</xdr:rowOff>
    </xdr:to>
    <xdr:graphicFrame macro="">
      <xdr:nvGraphicFramePr>
        <xdr:cNvPr id="6" name="Chart 7" descr="Impact of interest rates on pasture cost per day (at 75% equity for 25 years) graph.">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0.40268</cdr:x>
      <cdr:y>0.92802</cdr:y>
    </cdr:from>
    <cdr:to>
      <cdr:x>1</cdr:x>
      <cdr:y>1</cdr:y>
    </cdr:to>
    <cdr:sp macro="" textlink="">
      <cdr:nvSpPr>
        <cdr:cNvPr id="2" name="TextBox 1"/>
        <cdr:cNvSpPr txBox="1"/>
      </cdr:nvSpPr>
      <cdr:spPr>
        <a:xfrm xmlns:a="http://schemas.openxmlformats.org/drawingml/2006/main">
          <a:off x="1476375" y="3049590"/>
          <a:ext cx="3000375" cy="236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and Resource Development </a:t>
          </a:r>
        </a:p>
      </cdr:txBody>
    </cdr:sp>
  </cdr:relSizeAnchor>
</c:userShapes>
</file>

<file path=xl/drawings/drawing21.xml><?xml version="1.0" encoding="utf-8"?>
<c:userShapes xmlns:c="http://schemas.openxmlformats.org/drawingml/2006/chart">
  <cdr:relSizeAnchor xmlns:cdr="http://schemas.openxmlformats.org/drawingml/2006/chartDrawing">
    <cdr:from>
      <cdr:x>0.40268</cdr:x>
      <cdr:y>0.92802</cdr:y>
    </cdr:from>
    <cdr:to>
      <cdr:x>1</cdr:x>
      <cdr:y>1</cdr:y>
    </cdr:to>
    <cdr:sp macro="" textlink="">
      <cdr:nvSpPr>
        <cdr:cNvPr id="2" name="TextBox 1"/>
        <cdr:cNvSpPr txBox="1"/>
      </cdr:nvSpPr>
      <cdr:spPr>
        <a:xfrm xmlns:a="http://schemas.openxmlformats.org/drawingml/2006/main">
          <a:off x="1476375" y="3049590"/>
          <a:ext cx="3000375" cy="236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and Resource Development </a:t>
          </a:r>
        </a:p>
      </cdr:txBody>
    </cdr:sp>
  </cdr:relSizeAnchor>
</c:userShapes>
</file>

<file path=xl/drawings/drawing22.xml><?xml version="1.0" encoding="utf-8"?>
<c:userShapes xmlns:c="http://schemas.openxmlformats.org/drawingml/2006/chart">
  <cdr:relSizeAnchor xmlns:cdr="http://schemas.openxmlformats.org/drawingml/2006/chartDrawing">
    <cdr:from>
      <cdr:x>0.40292</cdr:x>
      <cdr:y>0.92802</cdr:y>
    </cdr:from>
    <cdr:to>
      <cdr:x>1</cdr:x>
      <cdr:y>1</cdr:y>
    </cdr:to>
    <cdr:sp macro="" textlink="">
      <cdr:nvSpPr>
        <cdr:cNvPr id="2" name="TextBox 1"/>
        <cdr:cNvSpPr txBox="1"/>
      </cdr:nvSpPr>
      <cdr:spPr>
        <a:xfrm xmlns:a="http://schemas.openxmlformats.org/drawingml/2006/main">
          <a:off x="1476375" y="3049590"/>
          <a:ext cx="3000375" cy="236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and Resource Development </a:t>
          </a:r>
        </a:p>
      </cdr:txBody>
    </cdr:sp>
  </cdr:relSizeAnchor>
</c:userShapes>
</file>

<file path=xl/drawings/drawing23.xml><?xml version="1.0" encoding="utf-8"?>
<c:userShapes xmlns:c="http://schemas.openxmlformats.org/drawingml/2006/chart">
  <cdr:relSizeAnchor xmlns:cdr="http://schemas.openxmlformats.org/drawingml/2006/chartDrawing">
    <cdr:from>
      <cdr:x>0.68323</cdr:x>
      <cdr:y>0.92992</cdr:y>
    </cdr:from>
    <cdr:to>
      <cdr:x>1</cdr:x>
      <cdr:y>1</cdr:y>
    </cdr:to>
    <cdr:sp macro="" textlink="">
      <cdr:nvSpPr>
        <cdr:cNvPr id="2" name="TextBox 1"/>
        <cdr:cNvSpPr txBox="1"/>
      </cdr:nvSpPr>
      <cdr:spPr>
        <a:xfrm xmlns:a="http://schemas.openxmlformats.org/drawingml/2006/main">
          <a:off x="3045618" y="3159919"/>
          <a:ext cx="1412082"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a:t>
          </a:r>
        </a:p>
      </cdr:txBody>
    </cdr:sp>
  </cdr:relSizeAnchor>
</c:userShapes>
</file>

<file path=xl/drawings/drawing3.xml><?xml version="1.0" encoding="utf-8"?>
<c:userShapes xmlns:c="http://schemas.openxmlformats.org/drawingml/2006/chart">
  <cdr:relSizeAnchor xmlns:cdr="http://schemas.openxmlformats.org/drawingml/2006/chartDrawing">
    <cdr:from>
      <cdr:x>0.65285</cdr:x>
      <cdr:y>0.92802</cdr:y>
    </cdr:from>
    <cdr:to>
      <cdr:x>1</cdr:x>
      <cdr:y>1</cdr:y>
    </cdr:to>
    <cdr:sp macro="" textlink="">
      <cdr:nvSpPr>
        <cdr:cNvPr id="2" name="TextBox 1"/>
        <cdr:cNvSpPr txBox="1"/>
      </cdr:nvSpPr>
      <cdr:spPr>
        <a:xfrm xmlns:a="http://schemas.openxmlformats.org/drawingml/2006/main">
          <a:off x="2400300" y="3102626"/>
          <a:ext cx="1276350" cy="2406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900"/>
            <a:t>Manitoba Agriculture  </a:t>
          </a:r>
        </a:p>
      </cdr:txBody>
    </cdr:sp>
  </cdr:relSizeAnchor>
</c:userShapes>
</file>

<file path=xl/drawings/drawing4.xml><?xml version="1.0" encoding="utf-8"?>
<c:userShapes xmlns:c="http://schemas.openxmlformats.org/drawingml/2006/chart">
  <cdr:relSizeAnchor xmlns:cdr="http://schemas.openxmlformats.org/drawingml/2006/chartDrawing">
    <cdr:from>
      <cdr:x>0.64251</cdr:x>
      <cdr:y>0.92802</cdr:y>
    </cdr:from>
    <cdr:to>
      <cdr:x>1</cdr:x>
      <cdr:y>1</cdr:y>
    </cdr:to>
    <cdr:sp macro="" textlink="">
      <cdr:nvSpPr>
        <cdr:cNvPr id="2" name="TextBox 1"/>
        <cdr:cNvSpPr txBox="1"/>
      </cdr:nvSpPr>
      <cdr:spPr>
        <a:xfrm xmlns:a="http://schemas.openxmlformats.org/drawingml/2006/main">
          <a:off x="2533650" y="3102626"/>
          <a:ext cx="1409700" cy="2406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900"/>
            <a:t>Manitoba Agriculture </a:t>
          </a:r>
        </a:p>
      </cdr:txBody>
    </cdr:sp>
  </cdr:relSizeAnchor>
</c:userShapes>
</file>

<file path=xl/drawings/drawing5.xml><?xml version="1.0" encoding="utf-8"?>
<c:userShapes xmlns:c="http://schemas.openxmlformats.org/drawingml/2006/chart">
  <cdr:relSizeAnchor xmlns:cdr="http://schemas.openxmlformats.org/drawingml/2006/chartDrawing">
    <cdr:from>
      <cdr:x>0.60937</cdr:x>
      <cdr:y>0.92802</cdr:y>
    </cdr:from>
    <cdr:to>
      <cdr:x>1</cdr:x>
      <cdr:y>1</cdr:y>
    </cdr:to>
    <cdr:sp macro="" textlink="">
      <cdr:nvSpPr>
        <cdr:cNvPr id="2" name="TextBox 1"/>
        <cdr:cNvSpPr txBox="1"/>
      </cdr:nvSpPr>
      <cdr:spPr>
        <a:xfrm xmlns:a="http://schemas.openxmlformats.org/drawingml/2006/main">
          <a:off x="2228849" y="3093787"/>
          <a:ext cx="1428751" cy="239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 </a:t>
          </a:r>
        </a:p>
      </cdr:txBody>
    </cdr:sp>
  </cdr:relSizeAnchor>
</c:userShapes>
</file>

<file path=xl/drawings/drawing6.xml><?xml version="1.0" encoding="utf-8"?>
<c:userShapes xmlns:c="http://schemas.openxmlformats.org/drawingml/2006/chart">
  <cdr:relSizeAnchor xmlns:cdr="http://schemas.openxmlformats.org/drawingml/2006/chartDrawing">
    <cdr:from>
      <cdr:x>0.62864</cdr:x>
      <cdr:y>0.92992</cdr:y>
    </cdr:from>
    <cdr:to>
      <cdr:x>1</cdr:x>
      <cdr:y>1</cdr:y>
    </cdr:to>
    <cdr:sp macro="" textlink="">
      <cdr:nvSpPr>
        <cdr:cNvPr id="2" name="TextBox 1"/>
        <cdr:cNvSpPr txBox="1"/>
      </cdr:nvSpPr>
      <cdr:spPr>
        <a:xfrm xmlns:a="http://schemas.openxmlformats.org/drawingml/2006/main">
          <a:off x="2466975" y="3108978"/>
          <a:ext cx="1457325" cy="234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a:t>
          </a:r>
        </a:p>
      </cdr:txBody>
    </cdr:sp>
  </cdr:relSizeAnchor>
</c:userShapes>
</file>

<file path=xl/drawings/drawing7.xml><?xml version="1.0" encoding="utf-8"?>
<c:userShapes xmlns:c="http://schemas.openxmlformats.org/drawingml/2006/chart">
  <cdr:relSizeAnchor xmlns:cdr="http://schemas.openxmlformats.org/drawingml/2006/chartDrawing">
    <cdr:from>
      <cdr:x>0.625</cdr:x>
      <cdr:y>0.92992</cdr:y>
    </cdr:from>
    <cdr:to>
      <cdr:x>1</cdr:x>
      <cdr:y>1</cdr:y>
    </cdr:to>
    <cdr:sp macro="" textlink="">
      <cdr:nvSpPr>
        <cdr:cNvPr id="2" name="TextBox 1"/>
        <cdr:cNvSpPr txBox="1"/>
      </cdr:nvSpPr>
      <cdr:spPr>
        <a:xfrm xmlns:a="http://schemas.openxmlformats.org/drawingml/2006/main">
          <a:off x="2286000" y="3108978"/>
          <a:ext cx="1371600" cy="234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CA" sz="1000"/>
            <a:t>Manitoba Agriculture</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142875</xdr:colOff>
      <xdr:row>43</xdr:row>
      <xdr:rowOff>152399</xdr:rowOff>
    </xdr:from>
    <xdr:to>
      <xdr:col>3</xdr:col>
      <xdr:colOff>333376</xdr:colOff>
      <xdr:row>62</xdr:row>
      <xdr:rowOff>57149</xdr:rowOff>
    </xdr:to>
    <xdr:graphicFrame macro="">
      <xdr:nvGraphicFramePr>
        <xdr:cNvPr id="2" name="Chart 3" descr="Actual Grazing days.">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428625</xdr:colOff>
      <xdr:row>43</xdr:row>
      <xdr:rowOff>152400</xdr:rowOff>
    </xdr:from>
    <xdr:to>
      <xdr:col>8</xdr:col>
      <xdr:colOff>581025</xdr:colOff>
      <xdr:row>62</xdr:row>
      <xdr:rowOff>47625</xdr:rowOff>
    </xdr:to>
    <xdr:graphicFrame macro="">
      <xdr:nvGraphicFramePr>
        <xdr:cNvPr id="3" name="Chart 5" descr="Indemnity based on days on pasture graph.">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314325</xdr:colOff>
      <xdr:row>55</xdr:row>
      <xdr:rowOff>123825</xdr:rowOff>
    </xdr:from>
    <xdr:to>
      <xdr:col>8</xdr:col>
      <xdr:colOff>390525</xdr:colOff>
      <xdr:row>57</xdr:row>
      <xdr:rowOff>38100</xdr:rowOff>
    </xdr:to>
    <xdr:sp macro="" textlink="#REF!">
      <xdr:nvSpPr>
        <xdr:cNvPr id="4" name="TextBox 3">
          <a:extLst>
            <a:ext uri="{FF2B5EF4-FFF2-40B4-BE49-F238E27FC236}">
              <a16:creationId xmlns:a16="http://schemas.microsoft.com/office/drawing/2014/main" id="{00000000-0008-0000-0300-000004000000}"/>
            </a:ext>
          </a:extLst>
        </xdr:cNvPr>
        <xdr:cNvSpPr txBox="1"/>
      </xdr:nvSpPr>
      <xdr:spPr>
        <a:xfrm>
          <a:off x="7753350" y="12011025"/>
          <a:ext cx="11239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ECA48B1-8BF9-4E3F-A6B5-210EC18E48CC}" type="TxLink">
            <a:rPr lang="en-US" sz="1000" b="0" i="0" u="none" strike="noStrike">
              <a:solidFill>
                <a:srgbClr val="000000"/>
              </a:solidFill>
              <a:latin typeface="Arial"/>
              <a:cs typeface="Arial"/>
            </a:rPr>
            <a:pPr algn="ctr"/>
            <a:t>Premium = $166</a:t>
          </a:fld>
          <a:endParaRPr lang="en-CA" sz="600"/>
        </a:p>
      </xdr:txBody>
    </xdr:sp>
    <xdr:clientData/>
  </xdr:twoCellAnchor>
  <xdr:twoCellAnchor>
    <xdr:from>
      <xdr:col>7</xdr:col>
      <xdr:colOff>133350</xdr:colOff>
      <xdr:row>47</xdr:row>
      <xdr:rowOff>95250</xdr:rowOff>
    </xdr:from>
    <xdr:to>
      <xdr:col>8</xdr:col>
      <xdr:colOff>209550</xdr:colOff>
      <xdr:row>49</xdr:row>
      <xdr:rowOff>9525</xdr:rowOff>
    </xdr:to>
    <xdr:sp macro="" textlink="#REF!">
      <xdr:nvSpPr>
        <xdr:cNvPr id="5" name="TextBox 4">
          <a:extLst>
            <a:ext uri="{FF2B5EF4-FFF2-40B4-BE49-F238E27FC236}">
              <a16:creationId xmlns:a16="http://schemas.microsoft.com/office/drawing/2014/main" id="{00000000-0008-0000-0300-000005000000}"/>
            </a:ext>
          </a:extLst>
        </xdr:cNvPr>
        <xdr:cNvSpPr txBox="1"/>
      </xdr:nvSpPr>
      <xdr:spPr>
        <a:xfrm>
          <a:off x="7572375" y="10687050"/>
          <a:ext cx="11239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AFFFEC7-834E-4A0F-9126-CF5E5EAE324E}" type="TxLink">
            <a:rPr lang="en-US" sz="900" b="0" i="0" u="none" strike="noStrike">
              <a:solidFill>
                <a:srgbClr val="000000"/>
              </a:solidFill>
              <a:latin typeface="Arial"/>
              <a:cs typeface="Arial"/>
            </a:rPr>
            <a:pPr algn="ctr"/>
            <a:t>Premium = $483</a:t>
          </a:fld>
          <a:endParaRPr lang="en-CA" sz="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506730</xdr:colOff>
      <xdr:row>48</xdr:row>
      <xdr:rowOff>160020</xdr:rowOff>
    </xdr:from>
    <xdr:to>
      <xdr:col>8</xdr:col>
      <xdr:colOff>331470</xdr:colOff>
      <xdr:row>50</xdr:row>
      <xdr:rowOff>19068</xdr:rowOff>
    </xdr:to>
    <xdr:sp macro="" textlink="">
      <xdr:nvSpPr>
        <xdr:cNvPr id="3" name="TextBox 2">
          <a:hlinkClick xmlns:r="http://schemas.openxmlformats.org/officeDocument/2006/relationships" r:id="rId1" tooltip="Click here for Livestock Fence Cost Calculator"/>
          <a:extLst>
            <a:ext uri="{FF2B5EF4-FFF2-40B4-BE49-F238E27FC236}">
              <a16:creationId xmlns:a16="http://schemas.microsoft.com/office/drawing/2014/main" id="{00000000-0008-0000-0500-000003000000}"/>
            </a:ext>
          </a:extLst>
        </xdr:cNvPr>
        <xdr:cNvSpPr txBox="1"/>
      </xdr:nvSpPr>
      <xdr:spPr>
        <a:xfrm>
          <a:off x="2085975" y="21678900"/>
          <a:ext cx="3943350" cy="1809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Manitoba Livestock Fence Cost Calculator</a:t>
          </a:r>
          <a:r>
            <a:rPr lang="en-CA" sz="1000" b="1" i="0" u="none" baseline="0">
              <a:solidFill>
                <a:sysClr val="windowText" lastClr="000000"/>
              </a:solidFill>
              <a:uFill>
                <a:solidFill>
                  <a:srgbClr val="0000FF"/>
                </a:solidFill>
              </a:uFill>
              <a:latin typeface="Arial" pitchFamily="34" charset="0"/>
              <a:cs typeface="Arial" pitchFamily="34" charset="0"/>
            </a:rPr>
            <a:t> </a:t>
          </a:r>
          <a:endParaRPr lang="en-CA" sz="1000" b="1" u="none" baseline="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masc.mb.ca/masc.nsf/calculator_pasture_days.html" TargetMode="External"/><Relationship Id="rId7" Type="http://schemas.openxmlformats.org/officeDocument/2006/relationships/comments" Target="../comments3.xml"/><Relationship Id="rId2" Type="http://schemas.openxmlformats.org/officeDocument/2006/relationships/hyperlink" Target="https://www.masc.mb.ca/masc.nsf/calculator_pasture_days.html" TargetMode="External"/><Relationship Id="rId1" Type="http://schemas.openxmlformats.org/officeDocument/2006/relationships/hyperlink" Target="https://www.masc.mb.ca/masc.nsf/fact_sheet_821_pasture_days.html" TargetMode="External"/><Relationship Id="rId6" Type="http://schemas.openxmlformats.org/officeDocument/2006/relationships/vmlDrawing" Target="../drawings/vmlDrawing3.vml"/><Relationship Id="rId5" Type="http://schemas.openxmlformats.org/officeDocument/2006/relationships/drawing" Target="../drawings/drawing11.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asc.mb.ca/masc.nsf/calculator_pasture_days.html" TargetMode="External"/><Relationship Id="rId7" Type="http://schemas.openxmlformats.org/officeDocument/2006/relationships/comments" Target="../comments1.xml"/><Relationship Id="rId2" Type="http://schemas.openxmlformats.org/officeDocument/2006/relationships/hyperlink" Target="https://www.masc.mb.ca/masc.nsf/calculator_pasture_days.html" TargetMode="External"/><Relationship Id="rId1" Type="http://schemas.openxmlformats.org/officeDocument/2006/relationships/hyperlink" Target="https://www.masc.mb.ca/masc.nsf/fact_sheet_821_pasture_days.html" TargetMode="External"/><Relationship Id="rId6" Type="http://schemas.openxmlformats.org/officeDocument/2006/relationships/vmlDrawing" Target="../drawings/vmlDrawing1.vml"/><Relationship Id="rId5" Type="http://schemas.openxmlformats.org/officeDocument/2006/relationships/drawing" Target="../drawings/drawing8.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3:J57"/>
  <sheetViews>
    <sheetView showGridLines="0" tabSelected="1" zoomScaleNormal="100" workbookViewId="0"/>
  </sheetViews>
  <sheetFormatPr defaultColWidth="11.453125" defaultRowHeight="15.5" x14ac:dyDescent="0.25"/>
  <cols>
    <col min="1" max="1" width="7.1796875" style="41" customWidth="1"/>
    <col min="2" max="2" width="13" style="41" customWidth="1"/>
    <col min="3" max="16384" width="11.453125" style="41"/>
  </cols>
  <sheetData>
    <row r="3" spans="1:10" s="43" customFormat="1" ht="27.5" x14ac:dyDescent="0.25">
      <c r="A3" s="42" t="s">
        <v>97</v>
      </c>
    </row>
    <row r="4" spans="1:10" s="43" customFormat="1" ht="15" customHeight="1" x14ac:dyDescent="0.25">
      <c r="A4" s="42"/>
    </row>
    <row r="5" spans="1:10" ht="20" x14ac:dyDescent="0.4">
      <c r="A5" s="302" t="s">
        <v>98</v>
      </c>
      <c r="B5" s="302"/>
      <c r="C5" s="302"/>
      <c r="D5" s="302"/>
      <c r="E5" s="302"/>
      <c r="F5" s="302"/>
      <c r="G5" s="302"/>
      <c r="H5" s="302"/>
      <c r="I5" s="302"/>
      <c r="J5" s="302"/>
    </row>
    <row r="6" spans="1:10" ht="25" x14ac:dyDescent="0.5">
      <c r="A6" s="301" t="s">
        <v>103</v>
      </c>
      <c r="B6" s="301"/>
      <c r="C6" s="301"/>
      <c r="D6" s="301"/>
      <c r="E6" s="301"/>
      <c r="F6" s="301"/>
      <c r="G6" s="301"/>
      <c r="H6" s="301"/>
      <c r="I6" s="301"/>
      <c r="J6" s="301"/>
    </row>
    <row r="7" spans="1:10" ht="25" x14ac:dyDescent="0.25">
      <c r="A7" s="303" t="str">
        <f>"Pasture Production Costs - "&amp;J13</f>
        <v>Pasture Production Costs - 2025</v>
      </c>
      <c r="B7" s="303"/>
      <c r="C7" s="303"/>
      <c r="D7" s="303"/>
      <c r="E7" s="303"/>
      <c r="F7" s="303"/>
      <c r="G7" s="303"/>
      <c r="H7" s="303"/>
      <c r="I7" s="303"/>
      <c r="J7" s="303"/>
    </row>
    <row r="13" spans="1:10" ht="18" x14ac:dyDescent="0.25">
      <c r="I13" s="44" t="s">
        <v>411</v>
      </c>
      <c r="J13" s="45">
        <v>2025</v>
      </c>
    </row>
    <row r="14" spans="1:10" ht="18" x14ac:dyDescent="0.25">
      <c r="B14" s="44"/>
    </row>
    <row r="15" spans="1:10" ht="18" x14ac:dyDescent="0.25">
      <c r="B15" s="44"/>
    </row>
    <row r="17" spans="2:10" ht="18" customHeight="1" x14ac:dyDescent="0.25">
      <c r="B17" s="304" t="s">
        <v>265</v>
      </c>
      <c r="C17" s="304"/>
      <c r="D17" s="304"/>
      <c r="E17" s="304"/>
      <c r="F17" s="304"/>
      <c r="G17" s="304"/>
      <c r="H17" s="304"/>
      <c r="I17" s="304"/>
      <c r="J17" s="304"/>
    </row>
    <row r="18" spans="2:10" ht="18" customHeight="1" x14ac:dyDescent="0.25">
      <c r="B18" s="304"/>
      <c r="C18" s="304"/>
      <c r="D18" s="304"/>
      <c r="E18" s="304"/>
      <c r="F18" s="304"/>
      <c r="G18" s="304"/>
      <c r="H18" s="304"/>
      <c r="I18" s="304"/>
      <c r="J18" s="304"/>
    </row>
    <row r="19" spans="2:10" ht="18" customHeight="1" x14ac:dyDescent="0.25">
      <c r="B19" s="304"/>
      <c r="C19" s="304"/>
      <c r="D19" s="304"/>
      <c r="E19" s="304"/>
      <c r="F19" s="304"/>
      <c r="G19" s="304"/>
      <c r="H19" s="304"/>
      <c r="I19" s="304"/>
      <c r="J19" s="304"/>
    </row>
    <row r="20" spans="2:10" ht="18" customHeight="1" x14ac:dyDescent="0.25">
      <c r="B20" s="304"/>
      <c r="C20" s="304"/>
      <c r="D20" s="304"/>
      <c r="E20" s="304"/>
      <c r="F20" s="304"/>
      <c r="G20" s="304"/>
      <c r="H20" s="304"/>
      <c r="I20" s="304"/>
      <c r="J20" s="304"/>
    </row>
    <row r="21" spans="2:10" ht="18" customHeight="1" x14ac:dyDescent="0.25">
      <c r="B21" s="304"/>
      <c r="C21" s="304"/>
      <c r="D21" s="304"/>
      <c r="E21" s="304"/>
      <c r="F21" s="304"/>
      <c r="G21" s="304"/>
      <c r="H21" s="304"/>
      <c r="I21" s="304"/>
      <c r="J21" s="304"/>
    </row>
    <row r="22" spans="2:10" ht="18" customHeight="1" x14ac:dyDescent="0.25">
      <c r="B22" s="304"/>
      <c r="C22" s="304"/>
      <c r="D22" s="304"/>
      <c r="E22" s="304"/>
      <c r="F22" s="304"/>
      <c r="G22" s="304"/>
      <c r="H22" s="304"/>
      <c r="I22" s="304"/>
      <c r="J22" s="304"/>
    </row>
    <row r="23" spans="2:10" ht="18" customHeight="1" x14ac:dyDescent="0.25">
      <c r="B23" s="304"/>
      <c r="C23" s="304"/>
      <c r="D23" s="304"/>
      <c r="E23" s="304"/>
      <c r="F23" s="304"/>
      <c r="G23" s="304"/>
      <c r="H23" s="304"/>
      <c r="I23" s="304"/>
      <c r="J23" s="304"/>
    </row>
    <row r="24" spans="2:10" ht="18" customHeight="1" x14ac:dyDescent="0.25">
      <c r="B24" s="304"/>
      <c r="C24" s="304"/>
      <c r="D24" s="304"/>
      <c r="E24" s="304"/>
      <c r="F24" s="304"/>
      <c r="G24" s="304"/>
      <c r="H24" s="304"/>
      <c r="I24" s="304"/>
      <c r="J24" s="304"/>
    </row>
    <row r="25" spans="2:10" ht="18" customHeight="1" x14ac:dyDescent="0.25">
      <c r="B25" s="47"/>
      <c r="C25" s="47"/>
      <c r="D25" s="47"/>
      <c r="E25" s="47"/>
      <c r="F25" s="47"/>
      <c r="G25" s="47"/>
      <c r="H25" s="47"/>
      <c r="I25" s="47"/>
      <c r="J25" s="47"/>
    </row>
    <row r="26" spans="2:10" ht="18" customHeight="1" x14ac:dyDescent="0.25">
      <c r="B26" s="48"/>
      <c r="C26" s="48"/>
      <c r="D26" s="48"/>
      <c r="E26" s="48"/>
      <c r="F26" s="48"/>
      <c r="G26" s="48"/>
      <c r="H26" s="48"/>
      <c r="I26" s="48"/>
    </row>
    <row r="27" spans="2:10" ht="18" customHeight="1" x14ac:dyDescent="0.25">
      <c r="B27" s="304" t="s">
        <v>70</v>
      </c>
      <c r="C27" s="304"/>
      <c r="D27" s="304"/>
      <c r="E27" s="304"/>
      <c r="F27" s="304"/>
      <c r="G27" s="304"/>
      <c r="H27" s="304"/>
      <c r="I27" s="304"/>
      <c r="J27" s="304"/>
    </row>
    <row r="28" spans="2:10" ht="18" customHeight="1" x14ac:dyDescent="0.25">
      <c r="B28" s="304"/>
      <c r="C28" s="304"/>
      <c r="D28" s="304"/>
      <c r="E28" s="304"/>
      <c r="F28" s="304"/>
      <c r="G28" s="304"/>
      <c r="H28" s="304"/>
      <c r="I28" s="304"/>
      <c r="J28" s="304"/>
    </row>
    <row r="29" spans="2:10" ht="18" customHeight="1" x14ac:dyDescent="0.25">
      <c r="B29" s="304"/>
      <c r="C29" s="304"/>
      <c r="D29" s="304"/>
      <c r="E29" s="304"/>
      <c r="F29" s="304"/>
      <c r="G29" s="304"/>
      <c r="H29" s="304"/>
      <c r="I29" s="304"/>
      <c r="J29" s="304"/>
    </row>
    <row r="30" spans="2:10" ht="18" customHeight="1" x14ac:dyDescent="0.25">
      <c r="B30" s="46"/>
      <c r="C30" s="46"/>
      <c r="D30" s="46"/>
      <c r="E30" s="46"/>
      <c r="F30" s="46"/>
      <c r="G30" s="46"/>
      <c r="H30" s="46"/>
      <c r="I30" s="46"/>
      <c r="J30" s="46"/>
    </row>
    <row r="31" spans="2:10" ht="17.5" x14ac:dyDescent="0.25">
      <c r="B31" s="46"/>
    </row>
    <row r="32" spans="2:10" ht="18" customHeight="1" x14ac:dyDescent="0.25">
      <c r="B32" s="304" t="s">
        <v>102</v>
      </c>
      <c r="C32" s="304"/>
      <c r="D32" s="304"/>
      <c r="E32" s="304"/>
      <c r="F32" s="304"/>
      <c r="G32" s="304"/>
      <c r="H32" s="304"/>
      <c r="I32" s="304"/>
      <c r="J32" s="304"/>
    </row>
    <row r="33" spans="2:10" ht="18" customHeight="1" x14ac:dyDescent="0.25">
      <c r="B33" s="304"/>
      <c r="C33" s="304"/>
      <c r="D33" s="304"/>
      <c r="E33" s="304"/>
      <c r="F33" s="304"/>
      <c r="G33" s="304"/>
      <c r="H33" s="304"/>
      <c r="I33" s="304"/>
      <c r="J33" s="304"/>
    </row>
    <row r="34" spans="2:10" ht="18" customHeight="1" x14ac:dyDescent="0.25">
      <c r="B34" s="304"/>
      <c r="C34" s="304"/>
      <c r="D34" s="304"/>
      <c r="E34" s="304"/>
      <c r="F34" s="304"/>
      <c r="G34" s="304"/>
      <c r="H34" s="304"/>
      <c r="I34" s="304"/>
      <c r="J34" s="304"/>
    </row>
    <row r="35" spans="2:10" ht="18" customHeight="1" x14ac:dyDescent="0.25">
      <c r="B35" s="304"/>
      <c r="C35" s="304"/>
      <c r="D35" s="304"/>
      <c r="E35" s="304"/>
      <c r="F35" s="304"/>
      <c r="G35" s="304"/>
      <c r="H35" s="304"/>
      <c r="I35" s="304"/>
      <c r="J35" s="304"/>
    </row>
    <row r="36" spans="2:10" ht="18" customHeight="1" x14ac:dyDescent="0.25">
      <c r="B36" s="46"/>
      <c r="C36" s="46"/>
      <c r="D36" s="46"/>
      <c r="E36" s="46"/>
      <c r="F36" s="46"/>
      <c r="G36" s="46"/>
      <c r="H36" s="46"/>
      <c r="I36" s="46"/>
      <c r="J36" s="46"/>
    </row>
    <row r="37" spans="2:10" ht="18" customHeight="1" x14ac:dyDescent="0.25">
      <c r="B37" s="49" t="s">
        <v>99</v>
      </c>
      <c r="C37" s="49"/>
      <c r="D37" s="49"/>
      <c r="E37" s="49"/>
      <c r="F37" s="49"/>
      <c r="G37" s="49"/>
      <c r="H37" s="49"/>
      <c r="I37" s="49"/>
      <c r="J37" s="49"/>
    </row>
    <row r="38" spans="2:10" ht="20.25" customHeight="1" x14ac:dyDescent="0.25">
      <c r="B38" s="50"/>
      <c r="C38" s="49"/>
      <c r="D38" s="49"/>
      <c r="E38" s="49"/>
      <c r="F38" s="49"/>
      <c r="G38" s="49"/>
      <c r="H38" s="49"/>
      <c r="I38" s="49"/>
      <c r="J38" s="49"/>
    </row>
    <row r="39" spans="2:10" ht="20.25" customHeight="1" x14ac:dyDescent="0.25">
      <c r="B39" s="50"/>
      <c r="C39" s="49"/>
      <c r="D39" s="49"/>
      <c r="E39" s="49"/>
      <c r="F39" s="49"/>
      <c r="G39" s="49"/>
      <c r="H39" s="49"/>
      <c r="I39" s="49"/>
      <c r="J39" s="49"/>
    </row>
    <row r="40" spans="2:10" ht="20.25" customHeight="1" x14ac:dyDescent="0.25">
      <c r="B40" s="50"/>
      <c r="C40" s="49"/>
      <c r="D40" s="49"/>
      <c r="E40" s="49"/>
      <c r="F40" s="49"/>
      <c r="G40" s="49"/>
      <c r="H40" s="49"/>
      <c r="I40" s="49"/>
      <c r="J40" s="49"/>
    </row>
    <row r="41" spans="2:10" ht="20.25" customHeight="1" x14ac:dyDescent="0.25">
      <c r="B41" s="50"/>
      <c r="C41" s="49"/>
      <c r="D41" s="49"/>
      <c r="E41" s="49"/>
      <c r="F41" s="49"/>
      <c r="G41" s="49"/>
      <c r="H41" s="49"/>
      <c r="I41" s="49"/>
      <c r="J41" s="49"/>
    </row>
    <row r="42" spans="2:10" ht="20.25" customHeight="1" x14ac:dyDescent="0.25">
      <c r="B42" s="50"/>
      <c r="C42" s="49"/>
      <c r="D42" s="49"/>
      <c r="E42" s="49"/>
      <c r="F42" s="49"/>
      <c r="G42" s="49"/>
      <c r="H42" s="49"/>
      <c r="I42" s="49"/>
      <c r="J42" s="49"/>
    </row>
    <row r="43" spans="2:10" ht="20.25" customHeight="1" x14ac:dyDescent="0.25">
      <c r="B43" s="50"/>
      <c r="C43" s="49"/>
      <c r="D43" s="49"/>
      <c r="E43" s="49"/>
      <c r="F43" s="49"/>
      <c r="G43" s="49"/>
      <c r="H43" s="49"/>
      <c r="I43" s="49"/>
      <c r="J43" s="49"/>
    </row>
    <row r="44" spans="2:10" ht="18" customHeight="1" x14ac:dyDescent="0.25">
      <c r="B44" s="49" t="s">
        <v>100</v>
      </c>
      <c r="C44" s="47"/>
      <c r="D44" s="47"/>
      <c r="E44" s="47"/>
      <c r="F44" s="47"/>
      <c r="I44" s="47"/>
      <c r="J44" s="47"/>
    </row>
    <row r="45" spans="2:10" ht="18" customHeight="1" x14ac:dyDescent="0.25">
      <c r="B45" s="49" t="s">
        <v>101</v>
      </c>
      <c r="C45" s="51"/>
      <c r="D45" s="51"/>
      <c r="E45" s="51"/>
      <c r="F45" s="51"/>
      <c r="G45" s="51"/>
      <c r="H45" s="51"/>
      <c r="I45" s="51"/>
    </row>
    <row r="46" spans="2:10" ht="18" customHeight="1" x14ac:dyDescent="0.25">
      <c r="B46" s="49"/>
      <c r="C46" s="51"/>
      <c r="D46" s="51"/>
      <c r="E46" s="51"/>
      <c r="F46" s="51"/>
      <c r="G46" s="51"/>
      <c r="H46" s="51"/>
      <c r="I46" s="51"/>
    </row>
    <row r="47" spans="2:10" ht="18" customHeight="1" x14ac:dyDescent="0.25">
      <c r="B47" s="49"/>
      <c r="C47" s="51"/>
      <c r="D47" s="51"/>
      <c r="E47" s="51"/>
      <c r="F47" s="51"/>
      <c r="G47" s="51"/>
      <c r="H47" s="51"/>
      <c r="I47" s="51"/>
    </row>
    <row r="48" spans="2:10" ht="18" customHeight="1" x14ac:dyDescent="0.25">
      <c r="B48" s="49"/>
      <c r="C48" s="51"/>
      <c r="D48" s="51"/>
      <c r="E48" s="51"/>
      <c r="F48" s="51"/>
      <c r="G48" s="51"/>
      <c r="H48" s="51"/>
      <c r="I48" s="51"/>
    </row>
    <row r="49" spans="2:10" ht="18" customHeight="1" x14ac:dyDescent="0.25">
      <c r="B49" s="49"/>
      <c r="C49" s="51"/>
      <c r="D49" s="51"/>
      <c r="E49" s="51"/>
      <c r="F49" s="51"/>
      <c r="G49" s="51"/>
      <c r="H49" s="51"/>
      <c r="I49" s="51"/>
    </row>
    <row r="50" spans="2:10" ht="18" customHeight="1" x14ac:dyDescent="0.25">
      <c r="B50" s="49"/>
      <c r="C50" s="51"/>
      <c r="D50" s="51"/>
      <c r="E50" s="51"/>
      <c r="F50" s="51"/>
      <c r="G50" s="51"/>
      <c r="H50" s="51"/>
      <c r="I50" s="51"/>
    </row>
    <row r="51" spans="2:10" ht="18" customHeight="1" x14ac:dyDescent="0.25">
      <c r="B51" s="49"/>
      <c r="C51" s="51"/>
      <c r="D51" s="51"/>
      <c r="E51" s="51"/>
      <c r="F51" s="51"/>
      <c r="G51" s="51"/>
      <c r="H51" s="51"/>
      <c r="I51" s="51"/>
    </row>
    <row r="52" spans="2:10" ht="18" customHeight="1" x14ac:dyDescent="0.25">
      <c r="B52" s="300" t="s">
        <v>304</v>
      </c>
      <c r="C52" s="300"/>
      <c r="D52" s="300"/>
      <c r="E52" s="300"/>
      <c r="F52" s="300"/>
      <c r="G52" s="300"/>
      <c r="H52" s="300"/>
      <c r="I52" s="300"/>
      <c r="J52" s="300"/>
    </row>
    <row r="53" spans="2:10" ht="15" customHeight="1" x14ac:dyDescent="0.25">
      <c r="B53" s="300"/>
      <c r="C53" s="300"/>
      <c r="D53" s="300"/>
      <c r="E53" s="300"/>
      <c r="F53" s="300"/>
      <c r="G53" s="300"/>
      <c r="H53" s="300"/>
      <c r="I53" s="300"/>
      <c r="J53" s="300"/>
    </row>
    <row r="54" spans="2:10" ht="15" customHeight="1" x14ac:dyDescent="0.25">
      <c r="B54" s="300"/>
      <c r="C54" s="300"/>
      <c r="D54" s="300"/>
      <c r="E54" s="300"/>
      <c r="F54" s="300"/>
      <c r="G54" s="300"/>
      <c r="H54" s="300"/>
      <c r="I54" s="300"/>
      <c r="J54" s="300"/>
    </row>
    <row r="55" spans="2:10" ht="15" customHeight="1" x14ac:dyDescent="0.25">
      <c r="B55" s="52"/>
      <c r="C55" s="52"/>
      <c r="D55" s="52"/>
      <c r="E55" s="52"/>
      <c r="F55" s="52"/>
      <c r="G55" s="52"/>
      <c r="H55" s="52"/>
      <c r="I55" s="52"/>
      <c r="J55" s="52"/>
    </row>
    <row r="56" spans="2:10" ht="15" customHeight="1" x14ac:dyDescent="0.25">
      <c r="B56" s="52"/>
      <c r="C56" s="52"/>
      <c r="D56" s="52"/>
      <c r="E56" s="52"/>
      <c r="F56" s="52"/>
      <c r="G56" s="52"/>
      <c r="H56" s="52"/>
      <c r="I56" s="52"/>
      <c r="J56" s="52"/>
    </row>
    <row r="57" spans="2:10" ht="15" customHeight="1" x14ac:dyDescent="0.25">
      <c r="B57" s="47"/>
      <c r="C57" s="47"/>
      <c r="D57" s="47"/>
      <c r="E57" s="47"/>
      <c r="F57" s="47"/>
      <c r="G57" s="47"/>
      <c r="H57" s="47"/>
      <c r="I57" s="47"/>
      <c r="J57" s="47"/>
    </row>
  </sheetData>
  <sheetProtection algorithmName="SHA-512" hashValue="x3A7BAAyNeXpSVzXtuUeOzNlSSe/Jm0Von+A64FXCZ3wHv8wJPlUbxsJyrQG1ahdT6j4eZZk2ijp8/ExxSJSPQ==" saltValue="HsDSFB+Fpcuc2BDY6aXM8A==" spinCount="100000" sheet="1" objects="1" scenarios="1"/>
  <mergeCells count="7">
    <mergeCell ref="B52:J54"/>
    <mergeCell ref="A6:J6"/>
    <mergeCell ref="A5:J5"/>
    <mergeCell ref="A7:J7"/>
    <mergeCell ref="B17:J24"/>
    <mergeCell ref="B27:J29"/>
    <mergeCell ref="B32:J35"/>
  </mergeCells>
  <pageMargins left="0.55118110236220474" right="0.55118110236220474" top="0.6692913385826772" bottom="0.78740157480314965" header="0.51181102362204722" footer="0.51181102362204722"/>
  <pageSetup scale="66" orientation="portrait" horizont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37"/>
  <sheetViews>
    <sheetView zoomScaleNormal="100" workbookViewId="0"/>
  </sheetViews>
  <sheetFormatPr defaultRowHeight="12.5" x14ac:dyDescent="0.25"/>
  <cols>
    <col min="1" max="1" width="3" customWidth="1"/>
    <col min="2" max="2" width="23.1796875" customWidth="1"/>
    <col min="3" max="3" width="47.54296875" customWidth="1"/>
    <col min="4" max="4" width="3.81640625" customWidth="1"/>
    <col min="5" max="5" width="18.54296875" bestFit="1" customWidth="1"/>
    <col min="7" max="8" width="9.1796875" bestFit="1" customWidth="1"/>
    <col min="9" max="9" width="16.81640625" customWidth="1"/>
    <col min="10" max="10" width="16.453125" customWidth="1"/>
    <col min="13" max="13" width="68.54296875" customWidth="1"/>
    <col min="14" max="14" width="9.1796875" customWidth="1"/>
  </cols>
  <sheetData>
    <row r="1" spans="1:10" s="222" customFormat="1" ht="28.5" customHeight="1" x14ac:dyDescent="0.25">
      <c r="A1" s="221"/>
      <c r="B1" s="221"/>
      <c r="C1" s="221"/>
      <c r="D1" s="221"/>
      <c r="E1" s="221"/>
      <c r="F1" s="221"/>
      <c r="G1" s="221"/>
      <c r="H1" s="221"/>
      <c r="I1" s="221"/>
    </row>
    <row r="2" spans="1:10" s="222" customFormat="1" ht="25.5" customHeight="1" x14ac:dyDescent="0.25">
      <c r="A2" s="223" t="s">
        <v>341</v>
      </c>
      <c r="G2" s="224"/>
    </row>
    <row r="3" spans="1:10" ht="18" x14ac:dyDescent="0.4">
      <c r="A3" s="225" t="s">
        <v>342</v>
      </c>
      <c r="B3" s="226"/>
      <c r="C3" s="226"/>
      <c r="D3" s="227"/>
      <c r="E3" s="228"/>
      <c r="G3" s="228"/>
      <c r="I3" s="227" t="s">
        <v>339</v>
      </c>
      <c r="J3" s="228">
        <f ca="1">TODAY()</f>
        <v>45772</v>
      </c>
    </row>
    <row r="4" spans="1:10" ht="9" customHeight="1" x14ac:dyDescent="0.4">
      <c r="A4" s="225"/>
      <c r="B4" s="226"/>
      <c r="C4" s="226"/>
      <c r="D4" s="226"/>
      <c r="E4" s="227"/>
      <c r="F4" s="228"/>
      <c r="G4" s="228"/>
      <c r="I4" s="227"/>
      <c r="J4" s="229"/>
    </row>
    <row r="5" spans="1:10" ht="15" customHeight="1" x14ac:dyDescent="0.45">
      <c r="A5" s="230" t="s">
        <v>340</v>
      </c>
      <c r="B5" s="222"/>
      <c r="C5" s="222"/>
      <c r="E5" s="231"/>
    </row>
    <row r="6" spans="1:10" ht="9" customHeight="1" x14ac:dyDescent="0.25"/>
    <row r="7" spans="1:10" s="1" customFormat="1" ht="15.5" x14ac:dyDescent="0.35">
      <c r="A7" s="12" t="s">
        <v>312</v>
      </c>
      <c r="E7" s="202"/>
      <c r="H7" s="202"/>
    </row>
    <row r="8" spans="1:10" s="1" customFormat="1" ht="15.5" x14ac:dyDescent="0.35">
      <c r="B8" s="1" t="s">
        <v>314</v>
      </c>
      <c r="E8" s="235">
        <v>134</v>
      </c>
      <c r="F8" s="1" t="s">
        <v>313</v>
      </c>
      <c r="G8" s="28" t="s">
        <v>335</v>
      </c>
      <c r="H8" s="3">
        <f>ROUND(E8/30,2)</f>
        <v>4.47</v>
      </c>
      <c r="I8" s="1" t="s">
        <v>334</v>
      </c>
    </row>
    <row r="9" spans="1:10" s="1" customFormat="1" ht="15.5" x14ac:dyDescent="0.35">
      <c r="B9" s="1" t="s">
        <v>315</v>
      </c>
      <c r="E9" s="247">
        <v>0.9</v>
      </c>
      <c r="H9" s="202"/>
    </row>
    <row r="10" spans="1:10" s="1" customFormat="1" ht="15.5" x14ac:dyDescent="0.35">
      <c r="B10" s="1" t="s">
        <v>346</v>
      </c>
      <c r="E10" s="237">
        <v>44702</v>
      </c>
      <c r="H10" s="171" t="s">
        <v>338</v>
      </c>
      <c r="I10" s="220">
        <f>E10+ROUND(E8*E9,0)</f>
        <v>44823</v>
      </c>
      <c r="J10" s="1" t="str">
        <f>", or "&amp;ROUND(E30/G26,0)&amp;" days)"</f>
        <v>, or 121 days)</v>
      </c>
    </row>
    <row r="11" spans="1:10" s="1" customFormat="1" ht="15.5" x14ac:dyDescent="0.35">
      <c r="B11" s="139" t="str">
        <f>"Historical grazing period end date ("&amp;E8&amp;" days)"</f>
        <v>Historical grazing period end date (134 days)</v>
      </c>
      <c r="C11" s="139"/>
      <c r="E11" s="249">
        <f>E10+E8</f>
        <v>44836</v>
      </c>
    </row>
    <row r="12" spans="1:10" s="1" customFormat="1" ht="15.5" x14ac:dyDescent="0.35">
      <c r="B12" s="1" t="s">
        <v>316</v>
      </c>
      <c r="E12" s="240">
        <v>2</v>
      </c>
      <c r="H12" s="202"/>
    </row>
    <row r="13" spans="1:10" s="1" customFormat="1" ht="15.5" x14ac:dyDescent="0.35">
      <c r="B13" s="1" t="s">
        <v>323</v>
      </c>
      <c r="E13" s="241">
        <v>4.1000000000000002E-2</v>
      </c>
      <c r="H13" s="202"/>
    </row>
    <row r="14" spans="1:10" s="1" customFormat="1" ht="15.5" x14ac:dyDescent="0.35">
      <c r="B14" s="1" t="s">
        <v>324</v>
      </c>
      <c r="E14" s="242">
        <v>0.4</v>
      </c>
      <c r="H14" s="202"/>
    </row>
    <row r="15" spans="1:10" s="1" customFormat="1" ht="7.5" customHeight="1" x14ac:dyDescent="0.35"/>
    <row r="16" spans="1:10" s="1" customFormat="1" ht="15.5" x14ac:dyDescent="0.35">
      <c r="A16" s="12" t="s">
        <v>305</v>
      </c>
      <c r="E16" s="238">
        <v>800</v>
      </c>
      <c r="F16" s="1" t="s">
        <v>20</v>
      </c>
    </row>
    <row r="17" spans="1:15" s="1" customFormat="1" ht="7.5" customHeight="1" x14ac:dyDescent="0.35">
      <c r="A17" s="12"/>
      <c r="E17" s="238"/>
    </row>
    <row r="18" spans="1:15" s="1" customFormat="1" ht="15.5" x14ac:dyDescent="0.35">
      <c r="A18" s="12" t="s">
        <v>317</v>
      </c>
      <c r="E18" s="210"/>
    </row>
    <row r="19" spans="1:15" s="1" customFormat="1" ht="16" thickBot="1" x14ac:dyDescent="0.4">
      <c r="A19" s="12"/>
      <c r="B19" s="75" t="s">
        <v>403</v>
      </c>
      <c r="C19" s="75" t="s">
        <v>404</v>
      </c>
      <c r="E19" s="17" t="s">
        <v>310</v>
      </c>
      <c r="G19" s="3" t="s">
        <v>311</v>
      </c>
    </row>
    <row r="20" spans="1:15" s="1" customFormat="1" ht="16" thickBot="1" x14ac:dyDescent="0.4">
      <c r="B20" s="261" t="s">
        <v>377</v>
      </c>
      <c r="C20" s="261" t="s">
        <v>398</v>
      </c>
      <c r="E20" s="235">
        <v>146</v>
      </c>
      <c r="G20" s="211">
        <f>IF(C20="",0,ROUND(VLOOKUP(C20,$C$211:$D$237,2,FALSE)*E20,0))</f>
        <v>190</v>
      </c>
      <c r="O20" s="219"/>
    </row>
    <row r="21" spans="1:15" s="1" customFormat="1" ht="16" thickBot="1" x14ac:dyDescent="0.4">
      <c r="B21" s="261" t="s">
        <v>309</v>
      </c>
      <c r="C21" s="261"/>
      <c r="E21" s="235">
        <v>0</v>
      </c>
      <c r="G21" s="211">
        <f t="shared" ref="G21:G25" si="0">IF(C21="",0,ROUND(VLOOKUP(C21,$C$211:$D$237,2,FALSE)*E21,0))</f>
        <v>0</v>
      </c>
      <c r="O21" s="219"/>
    </row>
    <row r="22" spans="1:15" s="1" customFormat="1" ht="16" thickBot="1" x14ac:dyDescent="0.4">
      <c r="B22" s="261" t="s">
        <v>309</v>
      </c>
      <c r="C22" s="261"/>
      <c r="E22" s="235">
        <v>0</v>
      </c>
      <c r="G22" s="211">
        <f t="shared" si="0"/>
        <v>0</v>
      </c>
      <c r="O22" s="219"/>
    </row>
    <row r="23" spans="1:15" s="1" customFormat="1" ht="16" thickBot="1" x14ac:dyDescent="0.4">
      <c r="B23" s="261" t="s">
        <v>309</v>
      </c>
      <c r="C23" s="261"/>
      <c r="E23" s="235">
        <v>0</v>
      </c>
      <c r="G23" s="211">
        <f t="shared" si="0"/>
        <v>0</v>
      </c>
      <c r="O23" s="219"/>
    </row>
    <row r="24" spans="1:15" s="1" customFormat="1" ht="16" thickBot="1" x14ac:dyDescent="0.4">
      <c r="B24" s="261" t="s">
        <v>309</v>
      </c>
      <c r="C24" s="261"/>
      <c r="E24" s="235">
        <v>0</v>
      </c>
      <c r="G24" s="211">
        <f t="shared" si="0"/>
        <v>0</v>
      </c>
    </row>
    <row r="25" spans="1:15" s="1" customFormat="1" ht="16" thickBot="1" x14ac:dyDescent="0.4">
      <c r="B25" s="261" t="s">
        <v>309</v>
      </c>
      <c r="C25" s="261"/>
      <c r="E25" s="239">
        <v>0</v>
      </c>
      <c r="G25" s="212">
        <f t="shared" si="0"/>
        <v>0</v>
      </c>
    </row>
    <row r="26" spans="1:15" s="1" customFormat="1" ht="15.5" x14ac:dyDescent="0.35">
      <c r="B26" s="107" t="s">
        <v>7</v>
      </c>
      <c r="C26" s="107"/>
      <c r="E26" s="99">
        <f>SUM(E20:E25)</f>
        <v>146</v>
      </c>
      <c r="G26" s="99">
        <f>IF(SUM(G20:G25)&lt;30,0,SUM(G20:G25))</f>
        <v>190</v>
      </c>
    </row>
    <row r="27" spans="1:15" s="1" customFormat="1" ht="15.5" x14ac:dyDescent="0.35"/>
    <row r="28" spans="1:15" s="1" customFormat="1" ht="15.5" x14ac:dyDescent="0.35">
      <c r="A28" s="12" t="s">
        <v>318</v>
      </c>
      <c r="E28" s="202"/>
      <c r="H28" s="202"/>
    </row>
    <row r="29" spans="1:15" s="1" customFormat="1" ht="15.5" x14ac:dyDescent="0.35">
      <c r="B29" s="1" t="str">
        <f>"Animal Unit Days ("&amp;G26&amp;" AU x "&amp;E8&amp;" days)"</f>
        <v>Animal Unit Days (190 AU x 134 days)</v>
      </c>
      <c r="E29" s="99">
        <f>G26*E8</f>
        <v>25460</v>
      </c>
      <c r="F29" s="1" t="s">
        <v>319</v>
      </c>
      <c r="H29" s="202"/>
    </row>
    <row r="30" spans="1:15" s="1" customFormat="1" ht="15.5" x14ac:dyDescent="0.35">
      <c r="B30" s="1" t="str">
        <f>"Pasture Guarantee ("&amp;TEXT(E29,"#,###")&amp;" x "&amp;E9*100&amp;"% or "&amp;ROUND(E30/G26,0)&amp;" days)"</f>
        <v>Pasture Guarantee (25,460 x 90% or 121 days)</v>
      </c>
      <c r="E30" s="99">
        <f>E29*E9</f>
        <v>22914</v>
      </c>
      <c r="F30" s="1" t="s">
        <v>319</v>
      </c>
      <c r="H30" s="202"/>
    </row>
    <row r="31" spans="1:15" s="1" customFormat="1" ht="15.5" x14ac:dyDescent="0.35">
      <c r="B31" s="1" t="str">
        <f>"Estimated Dollar Coverage ("&amp;TEXT(E30,"#,###")&amp;" AU Days x $"&amp;E12&amp;" per AU)"</f>
        <v>Estimated Dollar Coverage (22,914 AU Days x $2 per AU)</v>
      </c>
      <c r="E31" s="11">
        <f>E30*E12</f>
        <v>45828</v>
      </c>
      <c r="H31" s="202"/>
    </row>
    <row r="32" spans="1:15" s="1" customFormat="1" ht="15.5" x14ac:dyDescent="0.35">
      <c r="B32" s="1" t="str">
        <f>"Est. Avg. Coverage ($/head/season) = ($"&amp;TEXT(E31,"#,###")&amp;" ÷ "&amp;E26&amp;" head)"</f>
        <v>Est. Avg. Coverage ($/head/season) = ($45,828 ÷ 146 head)</v>
      </c>
      <c r="E32" s="11">
        <f>E31/E26</f>
        <v>313.89041095890411</v>
      </c>
      <c r="H32" s="202"/>
    </row>
    <row r="33" spans="1:11" s="1" customFormat="1" ht="15.5" x14ac:dyDescent="0.35">
      <c r="B33" s="1" t="str">
        <f>"Est. Avg. Coverage ($/head/day) = ($"&amp;TEXT(E32,"#,###.##")&amp;" ÷ "&amp;E8&amp;" days)"</f>
        <v>Est. Avg. Coverage ($/head/day) = ($313.89 ÷ 134 days)</v>
      </c>
      <c r="E33" s="11">
        <f>E32/E8</f>
        <v>2.3424657534246576</v>
      </c>
      <c r="H33" s="202"/>
    </row>
    <row r="34" spans="1:11" s="1" customFormat="1" ht="15.5" x14ac:dyDescent="0.35">
      <c r="E34" s="11"/>
      <c r="H34" s="202"/>
    </row>
    <row r="35" spans="1:11" s="1" customFormat="1" ht="15.5" x14ac:dyDescent="0.35">
      <c r="A35" s="12" t="s">
        <v>321</v>
      </c>
      <c r="E35" s="202"/>
      <c r="H35" s="202"/>
    </row>
    <row r="36" spans="1:11" s="1" customFormat="1" ht="15.5" x14ac:dyDescent="0.35">
      <c r="B36" s="1" t="s">
        <v>325</v>
      </c>
      <c r="E36" s="202"/>
      <c r="H36" s="202"/>
    </row>
    <row r="37" spans="1:11" s="1" customFormat="1" ht="15.5" x14ac:dyDescent="0.35">
      <c r="B37" s="1" t="str">
        <f>"Premium = ("&amp;E8&amp;" x "&amp;G26&amp;" X "&amp;E9*100&amp;"% x $"&amp;E12&amp;" x "&amp;E13*100&amp;"%)"</f>
        <v>Premium = (134 x 190 X 90% x $2 x 4.1%)</v>
      </c>
      <c r="E37" s="11">
        <f>E8*G26*E9*E12*E13</f>
        <v>1878.9480000000001</v>
      </c>
      <c r="H37" s="202"/>
    </row>
    <row r="38" spans="1:11" s="1" customFormat="1" ht="15.5" x14ac:dyDescent="0.35">
      <c r="B38" s="1" t="str">
        <f>"Estimated Producer Premium = ($"&amp;TEXT(E37,"#,###.##")&amp;" x "&amp;E14*100&amp;"%)"</f>
        <v>Estimated Producer Premium = ($1,878.95 x 40%)</v>
      </c>
      <c r="E38" s="11">
        <f>E37*E14</f>
        <v>751.57920000000013</v>
      </c>
      <c r="F38" s="243" t="str">
        <f>" ("&amp;(E38/E31)*100&amp;" % of insured)"</f>
        <v xml:space="preserve"> (1.64 % of insured)</v>
      </c>
      <c r="H38" s="202"/>
    </row>
    <row r="39" spans="1:11" s="1" customFormat="1" ht="15.5" x14ac:dyDescent="0.35">
      <c r="B39" s="1" t="str">
        <f>"Est. Premium ($/Acre) = ($"&amp;TEXT(E38,"#,###.##")&amp;" ÷ "&amp;E16&amp;" acres)"</f>
        <v>Est. Premium ($/Acre) = ($751.58 ÷ 800 acres)</v>
      </c>
      <c r="E39" s="11">
        <f>E38/E16</f>
        <v>0.93947400000000014</v>
      </c>
      <c r="F39" s="60"/>
      <c r="H39" s="202"/>
      <c r="I39" s="202"/>
      <c r="J39" s="202"/>
      <c r="K39" s="218"/>
    </row>
    <row r="40" spans="1:11" s="1" customFormat="1" ht="15.5" x14ac:dyDescent="0.35">
      <c r="B40" s="1" t="str">
        <f>"Est. Premium ($/head/season) = ($"&amp;TEXT(E38,"#,###.##")&amp;" ÷ "&amp;E26&amp;" head)"</f>
        <v>Est. Premium ($/head/season) = ($751.58 ÷ 146 head)</v>
      </c>
      <c r="E40" s="11">
        <f>E38/E26</f>
        <v>5.1478027397260284</v>
      </c>
      <c r="F40" s="60"/>
      <c r="H40" s="202"/>
      <c r="J40" s="202"/>
    </row>
    <row r="41" spans="1:11" s="1" customFormat="1" ht="15.5" x14ac:dyDescent="0.35">
      <c r="B41" s="1" t="str">
        <f>"Est. Premium ($/head/day) = ($"&amp;TEXT(E40,"#,###.##")&amp;" ÷ "&amp;E8&amp;" days)"</f>
        <v>Est. Premium ($/head/day) = ($5.15 ÷ 134 days)</v>
      </c>
      <c r="E41" s="217">
        <f>E40/E8</f>
        <v>3.8416438356164394E-2</v>
      </c>
      <c r="F41" s="60"/>
      <c r="H41" s="202"/>
      <c r="I41" s="202"/>
      <c r="J41" s="202"/>
    </row>
    <row r="42" spans="1:11" s="1" customFormat="1" ht="15.5" x14ac:dyDescent="0.35">
      <c r="E42" s="202"/>
      <c r="H42" s="202"/>
    </row>
    <row r="43" spans="1:11" s="1" customFormat="1" ht="15.5" x14ac:dyDescent="0.35">
      <c r="A43" s="12" t="s">
        <v>336</v>
      </c>
      <c r="E43" s="202"/>
      <c r="H43" s="202"/>
      <c r="J43" s="248"/>
    </row>
    <row r="44" spans="1:11" s="1" customFormat="1" ht="15.5" x14ac:dyDescent="0.35">
      <c r="B44" s="1" t="s">
        <v>347</v>
      </c>
      <c r="E44" s="237">
        <v>44803</v>
      </c>
      <c r="G44" s="3"/>
      <c r="H44" s="171"/>
      <c r="I44" s="220"/>
      <c r="J44" s="220"/>
    </row>
    <row r="45" spans="1:11" s="1" customFormat="1" ht="15.5" x14ac:dyDescent="0.35">
      <c r="B45" s="1" t="s">
        <v>348</v>
      </c>
      <c r="E45" s="250">
        <f>E44-E10</f>
        <v>101</v>
      </c>
      <c r="F45" s="1" t="s">
        <v>313</v>
      </c>
      <c r="G45" s="220" t="str">
        <f>"("&amp;IF(ROUND(E8*E9,0)-E45&lt;0,0,ROUND(E8*E9,0)-E45)&amp;" days of pasture coverage)"</f>
        <v>(20 days of pasture coverage)</v>
      </c>
      <c r="H45" s="171"/>
    </row>
    <row r="46" spans="1:11" s="1" customFormat="1" ht="15.5" x14ac:dyDescent="0.35">
      <c r="B46" s="1" t="str">
        <f>"Actual Animal Unit Days ("&amp;G26&amp;" AU x "&amp;E45&amp;" days)"</f>
        <v>Actual Animal Unit Days (190 AU x 101 days)</v>
      </c>
      <c r="E46" s="99">
        <f>G26*E45</f>
        <v>19190</v>
      </c>
      <c r="F46" s="1" t="s">
        <v>319</v>
      </c>
      <c r="H46" s="202"/>
    </row>
    <row r="47" spans="1:11" s="1" customFormat="1" ht="15.5" x14ac:dyDescent="0.35">
      <c r="B47" s="1" t="str">
        <f>"Pasture Shortfall ("&amp;TEXT(E30,"#,###")&amp;" - "&amp;TEXT(E46,"#,###")&amp;")"</f>
        <v>Pasture Shortfall (22,914 - 19,190)</v>
      </c>
      <c r="E47" s="99">
        <f>IF(E30-E46&lt;0,0,E30-E46)</f>
        <v>3724</v>
      </c>
      <c r="F47" s="1" t="s">
        <v>319</v>
      </c>
      <c r="G47" s="202"/>
      <c r="H47" s="202"/>
      <c r="K47" s="202"/>
    </row>
    <row r="48" spans="1:11" s="1" customFormat="1" ht="15.5" x14ac:dyDescent="0.35">
      <c r="B48" s="1" t="str">
        <f>"Estimated Indemnity ("&amp;TEXT(E47,"#,###")&amp;" AU Days x $"&amp;E12&amp;")"</f>
        <v>Estimated Indemnity (3,724 AU Days x $2)</v>
      </c>
      <c r="E48" s="11">
        <f>E47*E12</f>
        <v>7448</v>
      </c>
      <c r="F48" s="202"/>
      <c r="K48" s="202"/>
    </row>
    <row r="49" spans="1:11" s="1" customFormat="1" ht="15.5" x14ac:dyDescent="0.35">
      <c r="B49" s="1" t="str">
        <f>"Est. Indemnity ($/Acre) = ($"&amp;TEXT(E48,"#,###")&amp;" ÷ "&amp;E16&amp;" acres)"</f>
        <v>Est. Indemnity ($/Acre) = ($7,448 ÷ 800 acres)</v>
      </c>
      <c r="E49" s="11">
        <f>E48/E16</f>
        <v>9.31</v>
      </c>
      <c r="K49" s="202"/>
    </row>
    <row r="50" spans="1:11" s="1" customFormat="1" ht="15.5" x14ac:dyDescent="0.35">
      <c r="B50" s="1" t="str">
        <f>"Est. Indemnity ($/head/season) = ($"&amp;TEXT(E48,"#,###")&amp;" ÷ "&amp;E26&amp;" head)"</f>
        <v>Est. Indemnity ($/head/season) = ($7,448 ÷ 146 head)</v>
      </c>
      <c r="E50" s="11">
        <f>E48/E26</f>
        <v>51.013698630136986</v>
      </c>
    </row>
    <row r="51" spans="1:11" s="1" customFormat="1" ht="15.5" x14ac:dyDescent="0.35">
      <c r="B51" s="1" t="str">
        <f>"Est. Indemnity ($/head/day) = ($"&amp;TEXT(E50,"#,###.##")&amp;" ÷ "&amp;(ROUND(E8*E9,0)-E45)&amp;" days)"</f>
        <v>Est. Indemnity ($/head/day) = ($51.01 ÷ 20 days)</v>
      </c>
      <c r="E51" s="11">
        <f>IF((ROUND(E8*E9,0)-E45)=0,0,E50/(ROUND(E8*E9,0)-E45))</f>
        <v>2.5506849315068494</v>
      </c>
      <c r="F51" s="202"/>
    </row>
    <row r="52" spans="1:11" s="1" customFormat="1" ht="16" thickBot="1" x14ac:dyDescent="0.4">
      <c r="E52" s="11"/>
      <c r="F52" s="202"/>
    </row>
    <row r="53" spans="1:11" s="1" customFormat="1" ht="18.5" thickBot="1" x14ac:dyDescent="0.45">
      <c r="A53" s="355" t="str">
        <f>"Pasture Insurance Indemnity (based on "&amp;E26&amp;" Head and "&amp;E16&amp;" Acres @ "&amp;E8&amp;" days historic grazing period)"</f>
        <v>Pasture Insurance Indemnity (based on 146 Head and 800 Acres @ 134 days historic grazing period)</v>
      </c>
      <c r="B53" s="356"/>
      <c r="C53" s="356"/>
      <c r="D53" s="356"/>
      <c r="E53" s="356"/>
      <c r="F53" s="356"/>
      <c r="G53" s="356"/>
      <c r="H53" s="356"/>
      <c r="I53" s="356"/>
      <c r="J53" s="357"/>
    </row>
    <row r="54" spans="1:11" s="1" customFormat="1" ht="15.5" x14ac:dyDescent="0.35">
      <c r="E54" s="11"/>
      <c r="F54" s="202"/>
    </row>
    <row r="55" spans="1:11" s="1" customFormat="1" ht="15.5" x14ac:dyDescent="0.35">
      <c r="E55" s="11"/>
      <c r="F55" s="202"/>
    </row>
    <row r="56" spans="1:11" s="1" customFormat="1" ht="15.5" x14ac:dyDescent="0.35">
      <c r="E56" s="11"/>
      <c r="F56" s="202"/>
    </row>
    <row r="57" spans="1:11" s="1" customFormat="1" ht="15.5" x14ac:dyDescent="0.35">
      <c r="E57" s="11"/>
      <c r="F57" s="202"/>
    </row>
    <row r="58" spans="1:11" s="1" customFormat="1" ht="15.5" x14ac:dyDescent="0.35">
      <c r="E58" s="11"/>
      <c r="F58" s="202"/>
    </row>
    <row r="59" spans="1:11" s="1" customFormat="1" ht="15.5" x14ac:dyDescent="0.35">
      <c r="E59" s="11"/>
      <c r="F59" s="202"/>
    </row>
    <row r="60" spans="1:11" s="1" customFormat="1" ht="15.5" x14ac:dyDescent="0.35">
      <c r="E60" s="11"/>
      <c r="F60" s="202"/>
    </row>
    <row r="61" spans="1:11" s="1" customFormat="1" ht="15.5" x14ac:dyDescent="0.35">
      <c r="E61" s="11"/>
      <c r="F61" s="202"/>
    </row>
    <row r="62" spans="1:11" s="1" customFormat="1" ht="15.5" x14ac:dyDescent="0.35">
      <c r="E62" s="11"/>
      <c r="F62" s="202"/>
    </row>
    <row r="63" spans="1:11" s="1" customFormat="1" ht="15.5" x14ac:dyDescent="0.35">
      <c r="E63" s="11"/>
      <c r="F63" s="202"/>
    </row>
    <row r="64" spans="1:11" s="1" customFormat="1" ht="15.5" x14ac:dyDescent="0.35">
      <c r="E64" s="11"/>
      <c r="F64" s="202"/>
    </row>
    <row r="65" spans="1:12" s="1" customFormat="1" ht="15.5" x14ac:dyDescent="0.35">
      <c r="E65" s="11"/>
      <c r="F65" s="202"/>
    </row>
    <row r="66" spans="1:12" s="1" customFormat="1" ht="15.5" x14ac:dyDescent="0.35">
      <c r="E66" s="11"/>
      <c r="F66" s="202"/>
    </row>
    <row r="67" spans="1:12" s="1" customFormat="1" ht="15.5" x14ac:dyDescent="0.35">
      <c r="E67" s="11"/>
      <c r="F67" s="202"/>
    </row>
    <row r="68" spans="1:12" s="1" customFormat="1" ht="15.5" x14ac:dyDescent="0.35">
      <c r="E68" s="11"/>
      <c r="F68" s="202"/>
    </row>
    <row r="69" spans="1:12" s="1" customFormat="1" ht="15.5" x14ac:dyDescent="0.35">
      <c r="E69" s="11"/>
      <c r="F69" s="202"/>
    </row>
    <row r="70" spans="1:12" s="1" customFormat="1" ht="15.5" x14ac:dyDescent="0.35">
      <c r="A70" s="12" t="s">
        <v>350</v>
      </c>
      <c r="E70" s="202"/>
    </row>
    <row r="71" spans="1:12" s="1" customFormat="1" ht="15.5" x14ac:dyDescent="0.35">
      <c r="A71" s="12"/>
      <c r="B71" s="1" t="str">
        <f>"Est. Breakeven removal date from pasture ("&amp;E71-E10&amp;" days)"</f>
        <v>Est. Breakeven removal date from pasture (119 days)</v>
      </c>
      <c r="E71" s="249">
        <f>I10-ROUND((E38/E12)/G26,0)</f>
        <v>44821</v>
      </c>
      <c r="H71" s="171"/>
      <c r="I71" s="220"/>
    </row>
    <row r="72" spans="1:12" s="1" customFormat="1" ht="15.5" x14ac:dyDescent="0.35">
      <c r="A72" s="12"/>
      <c r="B72" s="1" t="str">
        <f>"  (Removal Date Est. Indemnity = $"&amp;ROUND(E38,2)&amp;" Est. Producer Premium)"</f>
        <v xml:space="preserve">  (Removal Date Est. Indemnity = $751.58 Est. Producer Premium)</v>
      </c>
      <c r="E72" s="220"/>
    </row>
    <row r="73" spans="1:12" s="1" customFormat="1" ht="15.5" x14ac:dyDescent="0.35">
      <c r="A73" s="12"/>
      <c r="E73" s="220"/>
    </row>
    <row r="74" spans="1:12" ht="15.5" x14ac:dyDescent="0.35">
      <c r="A74" s="12" t="s">
        <v>240</v>
      </c>
      <c r="D74" s="28"/>
      <c r="E74" s="2"/>
      <c r="F74" s="3"/>
      <c r="G74" s="1"/>
      <c r="I74" s="3"/>
    </row>
    <row r="75" spans="1:12" ht="15.5" x14ac:dyDescent="0.35">
      <c r="A75" s="1" t="s">
        <v>227</v>
      </c>
      <c r="E75" s="158">
        <f>ROUND(G26*$H$8,0)</f>
        <v>849</v>
      </c>
      <c r="I75" s="158"/>
    </row>
    <row r="76" spans="1:12" ht="15.5" x14ac:dyDescent="0.35">
      <c r="A76" s="1" t="s">
        <v>236</v>
      </c>
      <c r="E76" s="138">
        <f>ROUND(E75/E16,2)</f>
        <v>1.06</v>
      </c>
      <c r="I76" s="138"/>
    </row>
    <row r="78" spans="1:12" s="233" customFormat="1" ht="14.25" customHeight="1" x14ac:dyDescent="0.35">
      <c r="A78" s="354" t="s">
        <v>343</v>
      </c>
      <c r="B78" s="354"/>
      <c r="C78" s="354"/>
      <c r="D78" s="354"/>
      <c r="E78" s="354"/>
      <c r="F78" s="354"/>
      <c r="G78" s="354"/>
      <c r="H78" s="354"/>
      <c r="I78" s="354"/>
      <c r="J78" s="232"/>
      <c r="K78" s="232"/>
      <c r="L78" s="232"/>
    </row>
    <row r="79" spans="1:12" s="233" customFormat="1" ht="14.25" customHeight="1" x14ac:dyDescent="0.35">
      <c r="A79" s="354"/>
      <c r="B79" s="354"/>
      <c r="C79" s="354"/>
      <c r="D79" s="354"/>
      <c r="E79" s="354"/>
      <c r="F79" s="354"/>
      <c r="G79" s="354"/>
      <c r="H79" s="354"/>
      <c r="I79" s="354"/>
      <c r="J79" s="232"/>
      <c r="K79" s="232"/>
      <c r="L79" s="232"/>
    </row>
    <row r="80" spans="1:12" ht="12.75" customHeight="1" x14ac:dyDescent="0.3">
      <c r="A80" s="79"/>
      <c r="B80" s="79"/>
      <c r="C80" s="79"/>
      <c r="D80" s="79"/>
      <c r="E80" s="79"/>
      <c r="F80" s="79"/>
      <c r="G80" s="79"/>
      <c r="H80" s="79"/>
      <c r="I80" s="79"/>
      <c r="J80" s="234" t="s">
        <v>349</v>
      </c>
    </row>
    <row r="81" spans="2:10" s="222" customFormat="1" x14ac:dyDescent="0.25"/>
    <row r="82" spans="2:10" s="222" customFormat="1" x14ac:dyDescent="0.25">
      <c r="G82" s="262" t="s">
        <v>358</v>
      </c>
      <c r="H82" s="318" t="s">
        <v>364</v>
      </c>
      <c r="I82" s="318"/>
      <c r="J82" s="318"/>
    </row>
    <row r="83" spans="2:10" s="222" customFormat="1" x14ac:dyDescent="0.25">
      <c r="H83" s="318" t="s">
        <v>405</v>
      </c>
      <c r="I83" s="318"/>
      <c r="J83" s="318"/>
    </row>
    <row r="84" spans="2:10" s="222" customFormat="1" x14ac:dyDescent="0.25"/>
    <row r="85" spans="2:10" s="222" customFormat="1" x14ac:dyDescent="0.25"/>
    <row r="86" spans="2:10" s="222" customFormat="1" x14ac:dyDescent="0.25"/>
    <row r="87" spans="2:10" s="222" customFormat="1" x14ac:dyDescent="0.25"/>
    <row r="88" spans="2:10" s="222" customFormat="1" x14ac:dyDescent="0.25">
      <c r="D88" s="222" t="str">
        <f>"Pasture Insurance Indemnity (based on "&amp;E26&amp;" Head @ "&amp;E8&amp;" days historic grazing period)"</f>
        <v>Pasture Insurance Indemnity (based on 146 Head @ 134 days historic grazing period)</v>
      </c>
    </row>
    <row r="89" spans="2:10" s="222" customFormat="1" x14ac:dyDescent="0.25">
      <c r="B89"/>
      <c r="C89"/>
      <c r="D89" s="251"/>
      <c r="E89" s="252"/>
    </row>
    <row r="90" spans="2:10" s="222" customFormat="1" x14ac:dyDescent="0.25">
      <c r="B90"/>
      <c r="C90"/>
      <c r="D90" s="251" t="s">
        <v>351</v>
      </c>
      <c r="E90" s="252"/>
      <c r="F90" s="222" t="s">
        <v>352</v>
      </c>
    </row>
    <row r="91" spans="2:10" s="222" customFormat="1" x14ac:dyDescent="0.25">
      <c r="B91">
        <f t="shared" ref="B91:B106" si="1">B92-1</f>
        <v>40</v>
      </c>
      <c r="C91"/>
      <c r="D91" s="251">
        <f t="shared" ref="D91:D122" si="2">IF(($E$30-(B91*$G$26))*$E$12&lt;0,0,($E$30-(B91*$G$26))*$E$12)</f>
        <v>30628</v>
      </c>
      <c r="E91" s="252">
        <f t="shared" ref="E91:E106" si="3">B91+$E$10</f>
        <v>44742</v>
      </c>
      <c r="F91" s="253">
        <f>$E$38</f>
        <v>751.57920000000013</v>
      </c>
      <c r="G91" s="222">
        <f>ROUND(E30/G26,0)</f>
        <v>121</v>
      </c>
      <c r="H91" s="253">
        <f t="shared" ref="H91:H122" si="4">IF(($E$30-(G91*$G$26))*$E$12&lt;0,0,($E$30-(G91*$G$26))*$E$12)</f>
        <v>0</v>
      </c>
    </row>
    <row r="92" spans="2:10" s="222" customFormat="1" x14ac:dyDescent="0.25">
      <c r="B92">
        <f t="shared" si="1"/>
        <v>41</v>
      </c>
      <c r="C92"/>
      <c r="D92" s="251">
        <f t="shared" si="2"/>
        <v>30248</v>
      </c>
      <c r="E92" s="252">
        <f t="shared" si="3"/>
        <v>44743</v>
      </c>
      <c r="F92" s="253">
        <f t="shared" ref="F92:F155" si="5">$E$38</f>
        <v>751.57920000000013</v>
      </c>
      <c r="G92" s="222">
        <f>G91-1</f>
        <v>120</v>
      </c>
      <c r="H92" s="253">
        <f t="shared" si="4"/>
        <v>228</v>
      </c>
    </row>
    <row r="93" spans="2:10" s="222" customFormat="1" x14ac:dyDescent="0.25">
      <c r="B93">
        <f t="shared" si="1"/>
        <v>42</v>
      </c>
      <c r="C93"/>
      <c r="D93" s="251">
        <f t="shared" si="2"/>
        <v>29868</v>
      </c>
      <c r="E93" s="252">
        <f t="shared" si="3"/>
        <v>44744</v>
      </c>
      <c r="F93" s="253">
        <f t="shared" si="5"/>
        <v>751.57920000000013</v>
      </c>
      <c r="G93" s="222">
        <f t="shared" ref="G93:G156" si="6">G92-1</f>
        <v>119</v>
      </c>
      <c r="H93" s="253">
        <f t="shared" si="4"/>
        <v>608</v>
      </c>
    </row>
    <row r="94" spans="2:10" s="222" customFormat="1" x14ac:dyDescent="0.25">
      <c r="B94">
        <f t="shared" si="1"/>
        <v>43</v>
      </c>
      <c r="C94"/>
      <c r="D94" s="251">
        <f t="shared" si="2"/>
        <v>29488</v>
      </c>
      <c r="E94" s="252">
        <f t="shared" si="3"/>
        <v>44745</v>
      </c>
      <c r="F94" s="253">
        <f t="shared" si="5"/>
        <v>751.57920000000013</v>
      </c>
      <c r="G94" s="222">
        <f t="shared" si="6"/>
        <v>118</v>
      </c>
      <c r="H94" s="253">
        <f t="shared" si="4"/>
        <v>988</v>
      </c>
    </row>
    <row r="95" spans="2:10" s="222" customFormat="1" x14ac:dyDescent="0.25">
      <c r="B95">
        <f t="shared" si="1"/>
        <v>44</v>
      </c>
      <c r="C95"/>
      <c r="D95" s="251">
        <f t="shared" si="2"/>
        <v>29108</v>
      </c>
      <c r="E95" s="252">
        <f t="shared" si="3"/>
        <v>44746</v>
      </c>
      <c r="F95" s="253">
        <f t="shared" si="5"/>
        <v>751.57920000000013</v>
      </c>
      <c r="G95" s="222">
        <f t="shared" si="6"/>
        <v>117</v>
      </c>
      <c r="H95" s="253">
        <f t="shared" si="4"/>
        <v>1368</v>
      </c>
    </row>
    <row r="96" spans="2:10" s="222" customFormat="1" x14ac:dyDescent="0.25">
      <c r="B96">
        <f t="shared" si="1"/>
        <v>45</v>
      </c>
      <c r="C96"/>
      <c r="D96" s="251">
        <f t="shared" si="2"/>
        <v>28728</v>
      </c>
      <c r="E96" s="252">
        <f t="shared" si="3"/>
        <v>44747</v>
      </c>
      <c r="F96" s="253">
        <f t="shared" si="5"/>
        <v>751.57920000000013</v>
      </c>
      <c r="G96" s="222">
        <f t="shared" si="6"/>
        <v>116</v>
      </c>
      <c r="H96" s="253">
        <f t="shared" si="4"/>
        <v>1748</v>
      </c>
    </row>
    <row r="97" spans="2:8" s="222" customFormat="1" x14ac:dyDescent="0.25">
      <c r="B97">
        <f t="shared" si="1"/>
        <v>46</v>
      </c>
      <c r="C97"/>
      <c r="D97" s="251">
        <f t="shared" si="2"/>
        <v>28348</v>
      </c>
      <c r="E97" s="252">
        <f t="shared" si="3"/>
        <v>44748</v>
      </c>
      <c r="F97" s="253">
        <f t="shared" si="5"/>
        <v>751.57920000000013</v>
      </c>
      <c r="G97" s="222">
        <f t="shared" si="6"/>
        <v>115</v>
      </c>
      <c r="H97" s="253">
        <f t="shared" si="4"/>
        <v>2128</v>
      </c>
    </row>
    <row r="98" spans="2:8" s="222" customFormat="1" x14ac:dyDescent="0.25">
      <c r="B98">
        <f t="shared" si="1"/>
        <v>47</v>
      </c>
      <c r="C98"/>
      <c r="D98" s="251">
        <f t="shared" si="2"/>
        <v>27968</v>
      </c>
      <c r="E98" s="252">
        <f t="shared" si="3"/>
        <v>44749</v>
      </c>
      <c r="F98" s="253">
        <f t="shared" si="5"/>
        <v>751.57920000000013</v>
      </c>
      <c r="G98" s="222">
        <f t="shared" si="6"/>
        <v>114</v>
      </c>
      <c r="H98" s="253">
        <f t="shared" si="4"/>
        <v>2508</v>
      </c>
    </row>
    <row r="99" spans="2:8" s="222" customFormat="1" x14ac:dyDescent="0.25">
      <c r="B99">
        <f t="shared" si="1"/>
        <v>48</v>
      </c>
      <c r="C99"/>
      <c r="D99" s="251">
        <f t="shared" si="2"/>
        <v>27588</v>
      </c>
      <c r="E99" s="252">
        <f t="shared" si="3"/>
        <v>44750</v>
      </c>
      <c r="F99" s="253">
        <f t="shared" si="5"/>
        <v>751.57920000000013</v>
      </c>
      <c r="G99" s="222">
        <f t="shared" si="6"/>
        <v>113</v>
      </c>
      <c r="H99" s="253">
        <f t="shared" si="4"/>
        <v>2888</v>
      </c>
    </row>
    <row r="100" spans="2:8" s="222" customFormat="1" x14ac:dyDescent="0.25">
      <c r="B100">
        <f t="shared" si="1"/>
        <v>49</v>
      </c>
      <c r="C100"/>
      <c r="D100" s="251">
        <f t="shared" si="2"/>
        <v>27208</v>
      </c>
      <c r="E100" s="252">
        <f t="shared" si="3"/>
        <v>44751</v>
      </c>
      <c r="F100" s="253">
        <f t="shared" si="5"/>
        <v>751.57920000000013</v>
      </c>
      <c r="G100" s="222">
        <f t="shared" si="6"/>
        <v>112</v>
      </c>
      <c r="H100" s="253">
        <f t="shared" si="4"/>
        <v>3268</v>
      </c>
    </row>
    <row r="101" spans="2:8" s="222" customFormat="1" x14ac:dyDescent="0.25">
      <c r="B101">
        <f t="shared" si="1"/>
        <v>50</v>
      </c>
      <c r="C101"/>
      <c r="D101" s="251">
        <f t="shared" si="2"/>
        <v>26828</v>
      </c>
      <c r="E101" s="252">
        <f t="shared" si="3"/>
        <v>44752</v>
      </c>
      <c r="F101" s="253">
        <f t="shared" si="5"/>
        <v>751.57920000000013</v>
      </c>
      <c r="G101" s="222">
        <f t="shared" si="6"/>
        <v>111</v>
      </c>
      <c r="H101" s="253">
        <f t="shared" si="4"/>
        <v>3648</v>
      </c>
    </row>
    <row r="102" spans="2:8" s="222" customFormat="1" x14ac:dyDescent="0.25">
      <c r="B102">
        <f t="shared" si="1"/>
        <v>51</v>
      </c>
      <c r="C102"/>
      <c r="D102" s="251">
        <f t="shared" si="2"/>
        <v>26448</v>
      </c>
      <c r="E102" s="252">
        <f t="shared" si="3"/>
        <v>44753</v>
      </c>
      <c r="F102" s="253">
        <f t="shared" si="5"/>
        <v>751.57920000000013</v>
      </c>
      <c r="G102" s="222">
        <f t="shared" si="6"/>
        <v>110</v>
      </c>
      <c r="H102" s="253">
        <f t="shared" si="4"/>
        <v>4028</v>
      </c>
    </row>
    <row r="103" spans="2:8" s="222" customFormat="1" x14ac:dyDescent="0.25">
      <c r="B103">
        <f t="shared" si="1"/>
        <v>52</v>
      </c>
      <c r="C103"/>
      <c r="D103" s="251">
        <f t="shared" si="2"/>
        <v>26068</v>
      </c>
      <c r="E103" s="252">
        <f t="shared" si="3"/>
        <v>44754</v>
      </c>
      <c r="F103" s="253">
        <f t="shared" si="5"/>
        <v>751.57920000000013</v>
      </c>
      <c r="G103" s="222">
        <f t="shared" si="6"/>
        <v>109</v>
      </c>
      <c r="H103" s="253">
        <f t="shared" si="4"/>
        <v>4408</v>
      </c>
    </row>
    <row r="104" spans="2:8" s="222" customFormat="1" x14ac:dyDescent="0.25">
      <c r="B104">
        <f t="shared" si="1"/>
        <v>53</v>
      </c>
      <c r="C104"/>
      <c r="D104" s="251">
        <f t="shared" si="2"/>
        <v>25688</v>
      </c>
      <c r="E104" s="252">
        <f t="shared" si="3"/>
        <v>44755</v>
      </c>
      <c r="F104" s="253">
        <f t="shared" si="5"/>
        <v>751.57920000000013</v>
      </c>
      <c r="G104" s="222">
        <f t="shared" si="6"/>
        <v>108</v>
      </c>
      <c r="H104" s="253">
        <f t="shared" si="4"/>
        <v>4788</v>
      </c>
    </row>
    <row r="105" spans="2:8" s="222" customFormat="1" x14ac:dyDescent="0.25">
      <c r="B105">
        <f t="shared" si="1"/>
        <v>54</v>
      </c>
      <c r="C105"/>
      <c r="D105" s="251">
        <f t="shared" si="2"/>
        <v>25308</v>
      </c>
      <c r="E105" s="252">
        <f t="shared" si="3"/>
        <v>44756</v>
      </c>
      <c r="F105" s="253">
        <f t="shared" si="5"/>
        <v>751.57920000000013</v>
      </c>
      <c r="G105" s="222">
        <f t="shared" si="6"/>
        <v>107</v>
      </c>
      <c r="H105" s="253">
        <f t="shared" si="4"/>
        <v>5168</v>
      </c>
    </row>
    <row r="106" spans="2:8" s="222" customFormat="1" x14ac:dyDescent="0.25">
      <c r="B106">
        <f t="shared" si="1"/>
        <v>55</v>
      </c>
      <c r="C106"/>
      <c r="D106" s="251">
        <f t="shared" si="2"/>
        <v>24928</v>
      </c>
      <c r="E106" s="252">
        <f t="shared" si="3"/>
        <v>44757</v>
      </c>
      <c r="F106" s="253">
        <f t="shared" si="5"/>
        <v>751.57920000000013</v>
      </c>
      <c r="G106" s="222">
        <f t="shared" si="6"/>
        <v>106</v>
      </c>
      <c r="H106" s="253">
        <f t="shared" si="4"/>
        <v>5548</v>
      </c>
    </row>
    <row r="107" spans="2:8" s="222" customFormat="1" x14ac:dyDescent="0.25">
      <c r="B107">
        <f t="shared" ref="B107:B132" si="7">B108-1</f>
        <v>56</v>
      </c>
      <c r="C107"/>
      <c r="D107" s="251">
        <f t="shared" si="2"/>
        <v>24548</v>
      </c>
      <c r="E107" s="252">
        <f t="shared" ref="E107:E132" si="8">B107+$E$10</f>
        <v>44758</v>
      </c>
      <c r="F107" s="253">
        <f t="shared" si="5"/>
        <v>751.57920000000013</v>
      </c>
      <c r="G107" s="222">
        <f t="shared" si="6"/>
        <v>105</v>
      </c>
      <c r="H107" s="253">
        <f t="shared" si="4"/>
        <v>5928</v>
      </c>
    </row>
    <row r="108" spans="2:8" s="222" customFormat="1" x14ac:dyDescent="0.25">
      <c r="B108">
        <f t="shared" si="7"/>
        <v>57</v>
      </c>
      <c r="C108"/>
      <c r="D108" s="251">
        <f t="shared" si="2"/>
        <v>24168</v>
      </c>
      <c r="E108" s="252">
        <f t="shared" si="8"/>
        <v>44759</v>
      </c>
      <c r="F108" s="253">
        <f t="shared" si="5"/>
        <v>751.57920000000013</v>
      </c>
      <c r="G108" s="222">
        <f t="shared" si="6"/>
        <v>104</v>
      </c>
      <c r="H108" s="253">
        <f t="shared" si="4"/>
        <v>6308</v>
      </c>
    </row>
    <row r="109" spans="2:8" s="222" customFormat="1" x14ac:dyDescent="0.25">
      <c r="B109">
        <f t="shared" si="7"/>
        <v>58</v>
      </c>
      <c r="C109"/>
      <c r="D109" s="251">
        <f t="shared" si="2"/>
        <v>23788</v>
      </c>
      <c r="E109" s="252">
        <f t="shared" si="8"/>
        <v>44760</v>
      </c>
      <c r="F109" s="253">
        <f t="shared" si="5"/>
        <v>751.57920000000013</v>
      </c>
      <c r="G109" s="222">
        <f t="shared" si="6"/>
        <v>103</v>
      </c>
      <c r="H109" s="253">
        <f t="shared" si="4"/>
        <v>6688</v>
      </c>
    </row>
    <row r="110" spans="2:8" s="222" customFormat="1" x14ac:dyDescent="0.25">
      <c r="B110">
        <f t="shared" si="7"/>
        <v>59</v>
      </c>
      <c r="C110"/>
      <c r="D110" s="251">
        <f t="shared" si="2"/>
        <v>23408</v>
      </c>
      <c r="E110" s="252">
        <f t="shared" si="8"/>
        <v>44761</v>
      </c>
      <c r="F110" s="253">
        <f t="shared" si="5"/>
        <v>751.57920000000013</v>
      </c>
      <c r="G110" s="222">
        <f t="shared" si="6"/>
        <v>102</v>
      </c>
      <c r="H110" s="253">
        <f t="shared" si="4"/>
        <v>7068</v>
      </c>
    </row>
    <row r="111" spans="2:8" s="222" customFormat="1" x14ac:dyDescent="0.25">
      <c r="B111">
        <f t="shared" si="7"/>
        <v>60</v>
      </c>
      <c r="C111"/>
      <c r="D111" s="251">
        <f t="shared" si="2"/>
        <v>23028</v>
      </c>
      <c r="E111" s="252">
        <f t="shared" si="8"/>
        <v>44762</v>
      </c>
      <c r="F111" s="253">
        <f t="shared" si="5"/>
        <v>751.57920000000013</v>
      </c>
      <c r="G111" s="222">
        <f t="shared" si="6"/>
        <v>101</v>
      </c>
      <c r="H111" s="253">
        <f t="shared" si="4"/>
        <v>7448</v>
      </c>
    </row>
    <row r="112" spans="2:8" s="222" customFormat="1" x14ac:dyDescent="0.25">
      <c r="B112">
        <f t="shared" si="7"/>
        <v>61</v>
      </c>
      <c r="C112"/>
      <c r="D112" s="251">
        <f t="shared" si="2"/>
        <v>22648</v>
      </c>
      <c r="E112" s="252">
        <f t="shared" si="8"/>
        <v>44763</v>
      </c>
      <c r="F112" s="253">
        <f t="shared" si="5"/>
        <v>751.57920000000013</v>
      </c>
      <c r="G112" s="222">
        <f t="shared" si="6"/>
        <v>100</v>
      </c>
      <c r="H112" s="253">
        <f t="shared" si="4"/>
        <v>7828</v>
      </c>
    </row>
    <row r="113" spans="2:8" s="222" customFormat="1" x14ac:dyDescent="0.25">
      <c r="B113">
        <f t="shared" si="7"/>
        <v>62</v>
      </c>
      <c r="C113"/>
      <c r="D113" s="251">
        <f t="shared" si="2"/>
        <v>22268</v>
      </c>
      <c r="E113" s="252">
        <f t="shared" si="8"/>
        <v>44764</v>
      </c>
      <c r="F113" s="253">
        <f t="shared" si="5"/>
        <v>751.57920000000013</v>
      </c>
      <c r="G113" s="222">
        <f t="shared" si="6"/>
        <v>99</v>
      </c>
      <c r="H113" s="253">
        <f t="shared" si="4"/>
        <v>8208</v>
      </c>
    </row>
    <row r="114" spans="2:8" s="222" customFormat="1" x14ac:dyDescent="0.25">
      <c r="B114">
        <f t="shared" si="7"/>
        <v>63</v>
      </c>
      <c r="C114"/>
      <c r="D114" s="251">
        <f t="shared" si="2"/>
        <v>21888</v>
      </c>
      <c r="E114" s="252">
        <f t="shared" si="8"/>
        <v>44765</v>
      </c>
      <c r="F114" s="253">
        <f t="shared" si="5"/>
        <v>751.57920000000013</v>
      </c>
      <c r="G114" s="222">
        <f t="shared" si="6"/>
        <v>98</v>
      </c>
      <c r="H114" s="253">
        <f t="shared" si="4"/>
        <v>8588</v>
      </c>
    </row>
    <row r="115" spans="2:8" s="222" customFormat="1" x14ac:dyDescent="0.25">
      <c r="B115">
        <f t="shared" si="7"/>
        <v>64</v>
      </c>
      <c r="C115"/>
      <c r="D115" s="251">
        <f t="shared" si="2"/>
        <v>21508</v>
      </c>
      <c r="E115" s="252">
        <f t="shared" si="8"/>
        <v>44766</v>
      </c>
      <c r="F115" s="253">
        <f t="shared" si="5"/>
        <v>751.57920000000013</v>
      </c>
      <c r="G115" s="222">
        <f t="shared" si="6"/>
        <v>97</v>
      </c>
      <c r="H115" s="253">
        <f t="shared" si="4"/>
        <v>8968</v>
      </c>
    </row>
    <row r="116" spans="2:8" s="222" customFormat="1" x14ac:dyDescent="0.25">
      <c r="B116">
        <f t="shared" si="7"/>
        <v>65</v>
      </c>
      <c r="C116"/>
      <c r="D116" s="251">
        <f t="shared" si="2"/>
        <v>21128</v>
      </c>
      <c r="E116" s="252">
        <f t="shared" si="8"/>
        <v>44767</v>
      </c>
      <c r="F116" s="253">
        <f t="shared" si="5"/>
        <v>751.57920000000013</v>
      </c>
      <c r="G116" s="222">
        <f t="shared" si="6"/>
        <v>96</v>
      </c>
      <c r="H116" s="253">
        <f t="shared" si="4"/>
        <v>9348</v>
      </c>
    </row>
    <row r="117" spans="2:8" s="222" customFormat="1" x14ac:dyDescent="0.25">
      <c r="B117">
        <f t="shared" si="7"/>
        <v>66</v>
      </c>
      <c r="C117"/>
      <c r="D117" s="251">
        <f t="shared" si="2"/>
        <v>20748</v>
      </c>
      <c r="E117" s="252">
        <f t="shared" si="8"/>
        <v>44768</v>
      </c>
      <c r="F117" s="253">
        <f t="shared" si="5"/>
        <v>751.57920000000013</v>
      </c>
      <c r="G117" s="222">
        <f t="shared" si="6"/>
        <v>95</v>
      </c>
      <c r="H117" s="253">
        <f t="shared" si="4"/>
        <v>9728</v>
      </c>
    </row>
    <row r="118" spans="2:8" s="222" customFormat="1" x14ac:dyDescent="0.25">
      <c r="B118">
        <f t="shared" si="7"/>
        <v>67</v>
      </c>
      <c r="C118"/>
      <c r="D118" s="251">
        <f t="shared" si="2"/>
        <v>20368</v>
      </c>
      <c r="E118" s="252">
        <f t="shared" si="8"/>
        <v>44769</v>
      </c>
      <c r="F118" s="253">
        <f t="shared" si="5"/>
        <v>751.57920000000013</v>
      </c>
      <c r="G118" s="222">
        <f t="shared" si="6"/>
        <v>94</v>
      </c>
      <c r="H118" s="253">
        <f t="shared" si="4"/>
        <v>10108</v>
      </c>
    </row>
    <row r="119" spans="2:8" s="222" customFormat="1" x14ac:dyDescent="0.25">
      <c r="B119">
        <f t="shared" si="7"/>
        <v>68</v>
      </c>
      <c r="C119"/>
      <c r="D119" s="251">
        <f t="shared" si="2"/>
        <v>19988</v>
      </c>
      <c r="E119" s="252">
        <f t="shared" si="8"/>
        <v>44770</v>
      </c>
      <c r="F119" s="253">
        <f t="shared" si="5"/>
        <v>751.57920000000013</v>
      </c>
      <c r="G119" s="222">
        <f t="shared" si="6"/>
        <v>93</v>
      </c>
      <c r="H119" s="253">
        <f t="shared" si="4"/>
        <v>10488</v>
      </c>
    </row>
    <row r="120" spans="2:8" s="222" customFormat="1" x14ac:dyDescent="0.25">
      <c r="B120">
        <f t="shared" si="7"/>
        <v>69</v>
      </c>
      <c r="C120"/>
      <c r="D120" s="251">
        <f t="shared" si="2"/>
        <v>19608</v>
      </c>
      <c r="E120" s="252">
        <f t="shared" si="8"/>
        <v>44771</v>
      </c>
      <c r="F120" s="253">
        <f t="shared" si="5"/>
        <v>751.57920000000013</v>
      </c>
      <c r="G120" s="222">
        <f t="shared" si="6"/>
        <v>92</v>
      </c>
      <c r="H120" s="253">
        <f t="shared" si="4"/>
        <v>10868</v>
      </c>
    </row>
    <row r="121" spans="2:8" s="222" customFormat="1" x14ac:dyDescent="0.25">
      <c r="B121">
        <f t="shared" si="7"/>
        <v>70</v>
      </c>
      <c r="C121"/>
      <c r="D121" s="251">
        <f t="shared" si="2"/>
        <v>19228</v>
      </c>
      <c r="E121" s="252">
        <f t="shared" si="8"/>
        <v>44772</v>
      </c>
      <c r="F121" s="253">
        <f t="shared" si="5"/>
        <v>751.57920000000013</v>
      </c>
      <c r="G121" s="222">
        <f t="shared" si="6"/>
        <v>91</v>
      </c>
      <c r="H121" s="253">
        <f t="shared" si="4"/>
        <v>11248</v>
      </c>
    </row>
    <row r="122" spans="2:8" s="222" customFormat="1" x14ac:dyDescent="0.25">
      <c r="B122">
        <f t="shared" si="7"/>
        <v>71</v>
      </c>
      <c r="C122"/>
      <c r="D122" s="251">
        <f t="shared" si="2"/>
        <v>18848</v>
      </c>
      <c r="E122" s="252">
        <f t="shared" si="8"/>
        <v>44773</v>
      </c>
      <c r="F122" s="253">
        <f t="shared" si="5"/>
        <v>751.57920000000013</v>
      </c>
      <c r="G122" s="222">
        <f t="shared" si="6"/>
        <v>90</v>
      </c>
      <c r="H122" s="253">
        <f t="shared" si="4"/>
        <v>11628</v>
      </c>
    </row>
    <row r="123" spans="2:8" s="222" customFormat="1" x14ac:dyDescent="0.25">
      <c r="B123">
        <f t="shared" si="7"/>
        <v>72</v>
      </c>
      <c r="C123"/>
      <c r="D123" s="251">
        <f t="shared" ref="D123:D154" si="9">IF(($E$30-(B123*$G$26))*$E$12&lt;0,0,($E$30-(B123*$G$26))*$E$12)</f>
        <v>18468</v>
      </c>
      <c r="E123" s="252">
        <f t="shared" si="8"/>
        <v>44774</v>
      </c>
      <c r="F123" s="253">
        <f t="shared" si="5"/>
        <v>751.57920000000013</v>
      </c>
      <c r="G123" s="222">
        <f t="shared" si="6"/>
        <v>89</v>
      </c>
      <c r="H123" s="253">
        <f t="shared" ref="H123:H154" si="10">IF(($E$30-(G123*$G$26))*$E$12&lt;0,0,($E$30-(G123*$G$26))*$E$12)</f>
        <v>12008</v>
      </c>
    </row>
    <row r="124" spans="2:8" s="222" customFormat="1" x14ac:dyDescent="0.25">
      <c r="B124">
        <f t="shared" si="7"/>
        <v>73</v>
      </c>
      <c r="C124"/>
      <c r="D124" s="251">
        <f t="shared" si="9"/>
        <v>18088</v>
      </c>
      <c r="E124" s="252">
        <f t="shared" si="8"/>
        <v>44775</v>
      </c>
      <c r="F124" s="253">
        <f t="shared" si="5"/>
        <v>751.57920000000013</v>
      </c>
      <c r="G124" s="222">
        <f t="shared" si="6"/>
        <v>88</v>
      </c>
      <c r="H124" s="253">
        <f t="shared" si="10"/>
        <v>12388</v>
      </c>
    </row>
    <row r="125" spans="2:8" s="222" customFormat="1" x14ac:dyDescent="0.25">
      <c r="B125">
        <f t="shared" si="7"/>
        <v>74</v>
      </c>
      <c r="C125"/>
      <c r="D125" s="251">
        <f t="shared" si="9"/>
        <v>17708</v>
      </c>
      <c r="E125" s="252">
        <f t="shared" si="8"/>
        <v>44776</v>
      </c>
      <c r="F125" s="253">
        <f t="shared" si="5"/>
        <v>751.57920000000013</v>
      </c>
      <c r="G125" s="222">
        <f t="shared" si="6"/>
        <v>87</v>
      </c>
      <c r="H125" s="253">
        <f t="shared" si="10"/>
        <v>12768</v>
      </c>
    </row>
    <row r="126" spans="2:8" s="222" customFormat="1" x14ac:dyDescent="0.25">
      <c r="B126">
        <f t="shared" si="7"/>
        <v>75</v>
      </c>
      <c r="C126"/>
      <c r="D126" s="251">
        <f t="shared" si="9"/>
        <v>17328</v>
      </c>
      <c r="E126" s="252">
        <f t="shared" si="8"/>
        <v>44777</v>
      </c>
      <c r="F126" s="253">
        <f t="shared" si="5"/>
        <v>751.57920000000013</v>
      </c>
      <c r="G126" s="222">
        <f t="shared" si="6"/>
        <v>86</v>
      </c>
      <c r="H126" s="253">
        <f t="shared" si="10"/>
        <v>13148</v>
      </c>
    </row>
    <row r="127" spans="2:8" s="222" customFormat="1" x14ac:dyDescent="0.25">
      <c r="B127">
        <f t="shared" si="7"/>
        <v>76</v>
      </c>
      <c r="C127"/>
      <c r="D127" s="251">
        <f t="shared" si="9"/>
        <v>16948</v>
      </c>
      <c r="E127" s="252">
        <f t="shared" si="8"/>
        <v>44778</v>
      </c>
      <c r="F127" s="253">
        <f t="shared" si="5"/>
        <v>751.57920000000013</v>
      </c>
      <c r="G127" s="222">
        <f t="shared" si="6"/>
        <v>85</v>
      </c>
      <c r="H127" s="253">
        <f t="shared" si="10"/>
        <v>13528</v>
      </c>
    </row>
    <row r="128" spans="2:8" s="222" customFormat="1" x14ac:dyDescent="0.25">
      <c r="B128">
        <f t="shared" si="7"/>
        <v>77</v>
      </c>
      <c r="C128"/>
      <c r="D128" s="251">
        <f t="shared" si="9"/>
        <v>16568</v>
      </c>
      <c r="E128" s="252">
        <f t="shared" si="8"/>
        <v>44779</v>
      </c>
      <c r="F128" s="253">
        <f t="shared" si="5"/>
        <v>751.57920000000013</v>
      </c>
      <c r="G128" s="222">
        <f t="shared" si="6"/>
        <v>84</v>
      </c>
      <c r="H128" s="253">
        <f t="shared" si="10"/>
        <v>13908</v>
      </c>
    </row>
    <row r="129" spans="2:8" s="222" customFormat="1" x14ac:dyDescent="0.25">
      <c r="B129">
        <f t="shared" si="7"/>
        <v>78</v>
      </c>
      <c r="C129"/>
      <c r="D129" s="251">
        <f t="shared" si="9"/>
        <v>16188</v>
      </c>
      <c r="E129" s="252">
        <f t="shared" si="8"/>
        <v>44780</v>
      </c>
      <c r="F129" s="253">
        <f t="shared" si="5"/>
        <v>751.57920000000013</v>
      </c>
      <c r="G129" s="222">
        <f t="shared" si="6"/>
        <v>83</v>
      </c>
      <c r="H129" s="253">
        <f t="shared" si="10"/>
        <v>14288</v>
      </c>
    </row>
    <row r="130" spans="2:8" s="222" customFormat="1" x14ac:dyDescent="0.25">
      <c r="B130">
        <f t="shared" si="7"/>
        <v>79</v>
      </c>
      <c r="C130"/>
      <c r="D130" s="251">
        <f t="shared" si="9"/>
        <v>15808</v>
      </c>
      <c r="E130" s="252">
        <f t="shared" si="8"/>
        <v>44781</v>
      </c>
      <c r="F130" s="253">
        <f t="shared" si="5"/>
        <v>751.57920000000013</v>
      </c>
      <c r="G130" s="222">
        <f t="shared" si="6"/>
        <v>82</v>
      </c>
      <c r="H130" s="253">
        <f t="shared" si="10"/>
        <v>14668</v>
      </c>
    </row>
    <row r="131" spans="2:8" x14ac:dyDescent="0.25">
      <c r="B131">
        <f t="shared" si="7"/>
        <v>80</v>
      </c>
      <c r="D131" s="251">
        <f t="shared" si="9"/>
        <v>15428</v>
      </c>
      <c r="E131" s="252">
        <f t="shared" si="8"/>
        <v>44782</v>
      </c>
      <c r="F131" s="253">
        <f t="shared" si="5"/>
        <v>751.57920000000013</v>
      </c>
      <c r="G131" s="222">
        <f t="shared" si="6"/>
        <v>81</v>
      </c>
      <c r="H131" s="253">
        <f t="shared" si="10"/>
        <v>15048</v>
      </c>
    </row>
    <row r="132" spans="2:8" x14ac:dyDescent="0.25">
      <c r="B132">
        <f t="shared" si="7"/>
        <v>81</v>
      </c>
      <c r="D132" s="251">
        <f t="shared" si="9"/>
        <v>15048</v>
      </c>
      <c r="E132" s="252">
        <f t="shared" si="8"/>
        <v>44783</v>
      </c>
      <c r="F132" s="253">
        <f t="shared" si="5"/>
        <v>751.57920000000013</v>
      </c>
      <c r="G132" s="222">
        <f t="shared" si="6"/>
        <v>80</v>
      </c>
      <c r="H132" s="253">
        <f t="shared" si="10"/>
        <v>15428</v>
      </c>
    </row>
    <row r="133" spans="2:8" x14ac:dyDescent="0.25">
      <c r="B133">
        <f t="shared" ref="B133:B151" si="11">B134-1</f>
        <v>82</v>
      </c>
      <c r="D133" s="251">
        <f t="shared" si="9"/>
        <v>14668</v>
      </c>
      <c r="E133" s="252">
        <f t="shared" ref="E133:E171" si="12">B133+$E$10</f>
        <v>44784</v>
      </c>
      <c r="F133" s="253">
        <f t="shared" si="5"/>
        <v>751.57920000000013</v>
      </c>
      <c r="G133" s="222">
        <f t="shared" si="6"/>
        <v>79</v>
      </c>
      <c r="H133" s="253">
        <f t="shared" si="10"/>
        <v>15808</v>
      </c>
    </row>
    <row r="134" spans="2:8" x14ac:dyDescent="0.25">
      <c r="B134">
        <f t="shared" si="11"/>
        <v>83</v>
      </c>
      <c r="D134" s="251">
        <f t="shared" si="9"/>
        <v>14288</v>
      </c>
      <c r="E134" s="252">
        <f t="shared" si="12"/>
        <v>44785</v>
      </c>
      <c r="F134" s="253">
        <f t="shared" si="5"/>
        <v>751.57920000000013</v>
      </c>
      <c r="G134" s="222">
        <f t="shared" si="6"/>
        <v>78</v>
      </c>
      <c r="H134" s="253">
        <f t="shared" si="10"/>
        <v>16188</v>
      </c>
    </row>
    <row r="135" spans="2:8" x14ac:dyDescent="0.25">
      <c r="B135">
        <f t="shared" si="11"/>
        <v>84</v>
      </c>
      <c r="D135" s="251">
        <f t="shared" si="9"/>
        <v>13908</v>
      </c>
      <c r="E135" s="252">
        <f t="shared" si="12"/>
        <v>44786</v>
      </c>
      <c r="F135" s="253">
        <f t="shared" si="5"/>
        <v>751.57920000000013</v>
      </c>
      <c r="G135" s="222">
        <f t="shared" si="6"/>
        <v>77</v>
      </c>
      <c r="H135" s="253">
        <f t="shared" si="10"/>
        <v>16568</v>
      </c>
    </row>
    <row r="136" spans="2:8" x14ac:dyDescent="0.25">
      <c r="B136">
        <f t="shared" si="11"/>
        <v>85</v>
      </c>
      <c r="D136" s="251">
        <f t="shared" si="9"/>
        <v>13528</v>
      </c>
      <c r="E136" s="252">
        <f t="shared" si="12"/>
        <v>44787</v>
      </c>
      <c r="F136" s="253">
        <f t="shared" si="5"/>
        <v>751.57920000000013</v>
      </c>
      <c r="G136" s="222">
        <f t="shared" si="6"/>
        <v>76</v>
      </c>
      <c r="H136" s="253">
        <f t="shared" si="10"/>
        <v>16948</v>
      </c>
    </row>
    <row r="137" spans="2:8" x14ac:dyDescent="0.25">
      <c r="B137">
        <f t="shared" si="11"/>
        <v>86</v>
      </c>
      <c r="D137" s="251">
        <f t="shared" si="9"/>
        <v>13148</v>
      </c>
      <c r="E137" s="252">
        <f t="shared" si="12"/>
        <v>44788</v>
      </c>
      <c r="F137" s="253">
        <f t="shared" si="5"/>
        <v>751.57920000000013</v>
      </c>
      <c r="G137" s="222">
        <f t="shared" si="6"/>
        <v>75</v>
      </c>
      <c r="H137" s="253">
        <f t="shared" si="10"/>
        <v>17328</v>
      </c>
    </row>
    <row r="138" spans="2:8" x14ac:dyDescent="0.25">
      <c r="B138">
        <f t="shared" si="11"/>
        <v>87</v>
      </c>
      <c r="D138" s="251">
        <f t="shared" si="9"/>
        <v>12768</v>
      </c>
      <c r="E138" s="252">
        <f t="shared" si="12"/>
        <v>44789</v>
      </c>
      <c r="F138" s="253">
        <f t="shared" si="5"/>
        <v>751.57920000000013</v>
      </c>
      <c r="G138" s="222">
        <f t="shared" si="6"/>
        <v>74</v>
      </c>
      <c r="H138" s="253">
        <f t="shared" si="10"/>
        <v>17708</v>
      </c>
    </row>
    <row r="139" spans="2:8" x14ac:dyDescent="0.25">
      <c r="B139">
        <f t="shared" si="11"/>
        <v>88</v>
      </c>
      <c r="D139" s="251">
        <f t="shared" si="9"/>
        <v>12388</v>
      </c>
      <c r="E139" s="252">
        <f t="shared" si="12"/>
        <v>44790</v>
      </c>
      <c r="F139" s="253">
        <f t="shared" si="5"/>
        <v>751.57920000000013</v>
      </c>
      <c r="G139" s="222">
        <f t="shared" si="6"/>
        <v>73</v>
      </c>
      <c r="H139" s="253">
        <f t="shared" si="10"/>
        <v>18088</v>
      </c>
    </row>
    <row r="140" spans="2:8" x14ac:dyDescent="0.25">
      <c r="B140">
        <f t="shared" si="11"/>
        <v>89</v>
      </c>
      <c r="D140" s="251">
        <f t="shared" si="9"/>
        <v>12008</v>
      </c>
      <c r="E140" s="252">
        <f t="shared" si="12"/>
        <v>44791</v>
      </c>
      <c r="F140" s="253">
        <f t="shared" si="5"/>
        <v>751.57920000000013</v>
      </c>
      <c r="G140" s="222">
        <f t="shared" si="6"/>
        <v>72</v>
      </c>
      <c r="H140" s="253">
        <f t="shared" si="10"/>
        <v>18468</v>
      </c>
    </row>
    <row r="141" spans="2:8" x14ac:dyDescent="0.25">
      <c r="B141">
        <f t="shared" si="11"/>
        <v>90</v>
      </c>
      <c r="D141" s="251">
        <f t="shared" si="9"/>
        <v>11628</v>
      </c>
      <c r="E141" s="252">
        <f t="shared" si="12"/>
        <v>44792</v>
      </c>
      <c r="F141" s="253">
        <f t="shared" si="5"/>
        <v>751.57920000000013</v>
      </c>
      <c r="G141" s="222">
        <f t="shared" si="6"/>
        <v>71</v>
      </c>
      <c r="H141" s="253">
        <f t="shared" si="10"/>
        <v>18848</v>
      </c>
    </row>
    <row r="142" spans="2:8" x14ac:dyDescent="0.25">
      <c r="B142">
        <f t="shared" si="11"/>
        <v>91</v>
      </c>
      <c r="D142" s="251">
        <f t="shared" si="9"/>
        <v>11248</v>
      </c>
      <c r="E142" s="252">
        <f t="shared" si="12"/>
        <v>44793</v>
      </c>
      <c r="F142" s="253">
        <f t="shared" si="5"/>
        <v>751.57920000000013</v>
      </c>
      <c r="G142" s="222">
        <f t="shared" si="6"/>
        <v>70</v>
      </c>
      <c r="H142" s="253">
        <f t="shared" si="10"/>
        <v>19228</v>
      </c>
    </row>
    <row r="143" spans="2:8" x14ac:dyDescent="0.25">
      <c r="B143">
        <f t="shared" si="11"/>
        <v>92</v>
      </c>
      <c r="D143" s="251">
        <f t="shared" si="9"/>
        <v>10868</v>
      </c>
      <c r="E143" s="252">
        <f t="shared" si="12"/>
        <v>44794</v>
      </c>
      <c r="F143" s="253">
        <f t="shared" si="5"/>
        <v>751.57920000000013</v>
      </c>
      <c r="G143" s="222">
        <f t="shared" si="6"/>
        <v>69</v>
      </c>
      <c r="H143" s="253">
        <f t="shared" si="10"/>
        <v>19608</v>
      </c>
    </row>
    <row r="144" spans="2:8" x14ac:dyDescent="0.25">
      <c r="B144">
        <f t="shared" si="11"/>
        <v>93</v>
      </c>
      <c r="D144" s="251">
        <f t="shared" si="9"/>
        <v>10488</v>
      </c>
      <c r="E144" s="252">
        <f t="shared" si="12"/>
        <v>44795</v>
      </c>
      <c r="F144" s="253">
        <f t="shared" si="5"/>
        <v>751.57920000000013</v>
      </c>
      <c r="G144" s="222">
        <f t="shared" si="6"/>
        <v>68</v>
      </c>
      <c r="H144" s="253">
        <f t="shared" si="10"/>
        <v>19988</v>
      </c>
    </row>
    <row r="145" spans="2:8" x14ac:dyDescent="0.25">
      <c r="B145">
        <f t="shared" si="11"/>
        <v>94</v>
      </c>
      <c r="D145" s="251">
        <f t="shared" si="9"/>
        <v>10108</v>
      </c>
      <c r="E145" s="252">
        <f t="shared" si="12"/>
        <v>44796</v>
      </c>
      <c r="F145" s="253">
        <f t="shared" si="5"/>
        <v>751.57920000000013</v>
      </c>
      <c r="G145" s="222">
        <f t="shared" si="6"/>
        <v>67</v>
      </c>
      <c r="H145" s="253">
        <f t="shared" si="10"/>
        <v>20368</v>
      </c>
    </row>
    <row r="146" spans="2:8" x14ac:dyDescent="0.25">
      <c r="B146">
        <f t="shared" si="11"/>
        <v>95</v>
      </c>
      <c r="D146" s="251">
        <f t="shared" si="9"/>
        <v>9728</v>
      </c>
      <c r="E146" s="252">
        <f t="shared" si="12"/>
        <v>44797</v>
      </c>
      <c r="F146" s="253">
        <f t="shared" si="5"/>
        <v>751.57920000000013</v>
      </c>
      <c r="G146" s="222">
        <f t="shared" si="6"/>
        <v>66</v>
      </c>
      <c r="H146" s="253">
        <f t="shared" si="10"/>
        <v>20748</v>
      </c>
    </row>
    <row r="147" spans="2:8" x14ac:dyDescent="0.25">
      <c r="B147">
        <f t="shared" si="11"/>
        <v>96</v>
      </c>
      <c r="D147" s="251">
        <f t="shared" si="9"/>
        <v>9348</v>
      </c>
      <c r="E147" s="252">
        <f t="shared" si="12"/>
        <v>44798</v>
      </c>
      <c r="F147" s="253">
        <f t="shared" si="5"/>
        <v>751.57920000000013</v>
      </c>
      <c r="G147" s="222">
        <f t="shared" si="6"/>
        <v>65</v>
      </c>
      <c r="H147" s="253">
        <f t="shared" si="10"/>
        <v>21128</v>
      </c>
    </row>
    <row r="148" spans="2:8" x14ac:dyDescent="0.25">
      <c r="B148">
        <f t="shared" si="11"/>
        <v>97</v>
      </c>
      <c r="D148" s="251">
        <f t="shared" si="9"/>
        <v>8968</v>
      </c>
      <c r="E148" s="252">
        <f t="shared" si="12"/>
        <v>44799</v>
      </c>
      <c r="F148" s="253">
        <f t="shared" si="5"/>
        <v>751.57920000000013</v>
      </c>
      <c r="G148" s="222">
        <f t="shared" si="6"/>
        <v>64</v>
      </c>
      <c r="H148" s="253">
        <f t="shared" si="10"/>
        <v>21508</v>
      </c>
    </row>
    <row r="149" spans="2:8" x14ac:dyDescent="0.25">
      <c r="B149">
        <f t="shared" si="11"/>
        <v>98</v>
      </c>
      <c r="D149" s="251">
        <f t="shared" si="9"/>
        <v>8588</v>
      </c>
      <c r="E149" s="252">
        <f t="shared" si="12"/>
        <v>44800</v>
      </c>
      <c r="F149" s="253">
        <f t="shared" si="5"/>
        <v>751.57920000000013</v>
      </c>
      <c r="G149" s="222">
        <f t="shared" si="6"/>
        <v>63</v>
      </c>
      <c r="H149" s="253">
        <f t="shared" si="10"/>
        <v>21888</v>
      </c>
    </row>
    <row r="150" spans="2:8" x14ac:dyDescent="0.25">
      <c r="B150">
        <f t="shared" si="11"/>
        <v>99</v>
      </c>
      <c r="D150" s="251">
        <f t="shared" si="9"/>
        <v>8208</v>
      </c>
      <c r="E150" s="252">
        <f t="shared" si="12"/>
        <v>44801</v>
      </c>
      <c r="F150" s="253">
        <f t="shared" si="5"/>
        <v>751.57920000000013</v>
      </c>
      <c r="G150" s="222">
        <f t="shared" si="6"/>
        <v>62</v>
      </c>
      <c r="H150" s="253">
        <f t="shared" si="10"/>
        <v>22268</v>
      </c>
    </row>
    <row r="151" spans="2:8" x14ac:dyDescent="0.25">
      <c r="B151">
        <f t="shared" si="11"/>
        <v>100</v>
      </c>
      <c r="D151" s="251">
        <f t="shared" si="9"/>
        <v>7828</v>
      </c>
      <c r="E151" s="252">
        <f t="shared" si="12"/>
        <v>44802</v>
      </c>
      <c r="F151" s="253">
        <f t="shared" si="5"/>
        <v>751.57920000000013</v>
      </c>
      <c r="G151" s="222">
        <f t="shared" si="6"/>
        <v>61</v>
      </c>
      <c r="H151" s="253">
        <f t="shared" si="10"/>
        <v>22648</v>
      </c>
    </row>
    <row r="152" spans="2:8" x14ac:dyDescent="0.25">
      <c r="B152">
        <f t="shared" ref="B152:B170" si="13">B153-1</f>
        <v>101</v>
      </c>
      <c r="D152" s="251">
        <f t="shared" si="9"/>
        <v>7448</v>
      </c>
      <c r="E152" s="252">
        <f t="shared" si="12"/>
        <v>44803</v>
      </c>
      <c r="F152" s="253">
        <f t="shared" si="5"/>
        <v>751.57920000000013</v>
      </c>
      <c r="G152" s="222">
        <f t="shared" si="6"/>
        <v>60</v>
      </c>
      <c r="H152" s="253">
        <f t="shared" si="10"/>
        <v>23028</v>
      </c>
    </row>
    <row r="153" spans="2:8" x14ac:dyDescent="0.25">
      <c r="B153">
        <f t="shared" si="13"/>
        <v>102</v>
      </c>
      <c r="D153" s="251">
        <f t="shared" si="9"/>
        <v>7068</v>
      </c>
      <c r="E153" s="252">
        <f t="shared" si="12"/>
        <v>44804</v>
      </c>
      <c r="F153" s="253">
        <f t="shared" si="5"/>
        <v>751.57920000000013</v>
      </c>
      <c r="G153" s="222">
        <f t="shared" si="6"/>
        <v>59</v>
      </c>
      <c r="H153" s="253">
        <f t="shared" si="10"/>
        <v>23408</v>
      </c>
    </row>
    <row r="154" spans="2:8" x14ac:dyDescent="0.25">
      <c r="B154">
        <f t="shared" si="13"/>
        <v>103</v>
      </c>
      <c r="D154" s="251">
        <f t="shared" si="9"/>
        <v>6688</v>
      </c>
      <c r="E154" s="252">
        <f t="shared" si="12"/>
        <v>44805</v>
      </c>
      <c r="F154" s="253">
        <f t="shared" si="5"/>
        <v>751.57920000000013</v>
      </c>
      <c r="G154" s="222">
        <f t="shared" si="6"/>
        <v>58</v>
      </c>
      <c r="H154" s="253">
        <f t="shared" si="10"/>
        <v>23788</v>
      </c>
    </row>
    <row r="155" spans="2:8" x14ac:dyDescent="0.25">
      <c r="B155">
        <f t="shared" si="13"/>
        <v>104</v>
      </c>
      <c r="D155" s="251">
        <f t="shared" ref="D155:D172" si="14">IF(($E$30-(B155*$G$26))*$E$12&lt;0,0,($E$30-(B155*$G$26))*$E$12)</f>
        <v>6308</v>
      </c>
      <c r="E155" s="252">
        <f t="shared" si="12"/>
        <v>44806</v>
      </c>
      <c r="F155" s="253">
        <f t="shared" si="5"/>
        <v>751.57920000000013</v>
      </c>
      <c r="G155" s="222">
        <f t="shared" si="6"/>
        <v>57</v>
      </c>
      <c r="H155" s="253">
        <f t="shared" ref="H155:H172" si="15">IF(($E$30-(G155*$G$26))*$E$12&lt;0,0,($E$30-(G155*$G$26))*$E$12)</f>
        <v>24168</v>
      </c>
    </row>
    <row r="156" spans="2:8" x14ac:dyDescent="0.25">
      <c r="B156">
        <f t="shared" si="13"/>
        <v>105</v>
      </c>
      <c r="D156" s="251">
        <f t="shared" si="14"/>
        <v>5928</v>
      </c>
      <c r="E156" s="252">
        <f t="shared" si="12"/>
        <v>44807</v>
      </c>
      <c r="F156" s="253">
        <f t="shared" ref="F156:F172" si="16">$E$38</f>
        <v>751.57920000000013</v>
      </c>
      <c r="G156" s="222">
        <f t="shared" si="6"/>
        <v>56</v>
      </c>
      <c r="H156" s="253">
        <f t="shared" si="15"/>
        <v>24548</v>
      </c>
    </row>
    <row r="157" spans="2:8" x14ac:dyDescent="0.25">
      <c r="B157">
        <f t="shared" si="13"/>
        <v>106</v>
      </c>
      <c r="D157" s="251">
        <f t="shared" si="14"/>
        <v>5548</v>
      </c>
      <c r="E157" s="252">
        <f t="shared" si="12"/>
        <v>44808</v>
      </c>
      <c r="F157" s="253">
        <f t="shared" si="16"/>
        <v>751.57920000000013</v>
      </c>
      <c r="G157" s="222">
        <f t="shared" ref="G157:G172" si="17">G156-1</f>
        <v>55</v>
      </c>
      <c r="H157" s="253">
        <f t="shared" si="15"/>
        <v>24928</v>
      </c>
    </row>
    <row r="158" spans="2:8" x14ac:dyDescent="0.25">
      <c r="B158">
        <f t="shared" si="13"/>
        <v>107</v>
      </c>
      <c r="D158" s="251">
        <f t="shared" si="14"/>
        <v>5168</v>
      </c>
      <c r="E158" s="252">
        <f t="shared" si="12"/>
        <v>44809</v>
      </c>
      <c r="F158" s="253">
        <f t="shared" si="16"/>
        <v>751.57920000000013</v>
      </c>
      <c r="G158" s="222">
        <f t="shared" si="17"/>
        <v>54</v>
      </c>
      <c r="H158" s="253">
        <f t="shared" si="15"/>
        <v>25308</v>
      </c>
    </row>
    <row r="159" spans="2:8" x14ac:dyDescent="0.25">
      <c r="B159">
        <f t="shared" si="13"/>
        <v>108</v>
      </c>
      <c r="D159" s="251">
        <f t="shared" si="14"/>
        <v>4788</v>
      </c>
      <c r="E159" s="252">
        <f t="shared" si="12"/>
        <v>44810</v>
      </c>
      <c r="F159" s="253">
        <f t="shared" si="16"/>
        <v>751.57920000000013</v>
      </c>
      <c r="G159" s="222">
        <f t="shared" si="17"/>
        <v>53</v>
      </c>
      <c r="H159" s="253">
        <f t="shared" si="15"/>
        <v>25688</v>
      </c>
    </row>
    <row r="160" spans="2:8" x14ac:dyDescent="0.25">
      <c r="B160">
        <f t="shared" si="13"/>
        <v>109</v>
      </c>
      <c r="D160" s="251">
        <f t="shared" si="14"/>
        <v>4408</v>
      </c>
      <c r="E160" s="252">
        <f t="shared" si="12"/>
        <v>44811</v>
      </c>
      <c r="F160" s="253">
        <f t="shared" si="16"/>
        <v>751.57920000000013</v>
      </c>
      <c r="G160" s="222">
        <f t="shared" si="17"/>
        <v>52</v>
      </c>
      <c r="H160" s="253">
        <f t="shared" si="15"/>
        <v>26068</v>
      </c>
    </row>
    <row r="161" spans="2:9" x14ac:dyDescent="0.25">
      <c r="B161">
        <f t="shared" si="13"/>
        <v>110</v>
      </c>
      <c r="D161" s="251">
        <f t="shared" si="14"/>
        <v>4028</v>
      </c>
      <c r="E161" s="252">
        <f t="shared" si="12"/>
        <v>44812</v>
      </c>
      <c r="F161" s="253">
        <f t="shared" si="16"/>
        <v>751.57920000000013</v>
      </c>
      <c r="G161" s="222">
        <f t="shared" si="17"/>
        <v>51</v>
      </c>
      <c r="H161" s="253">
        <f t="shared" si="15"/>
        <v>26448</v>
      </c>
    </row>
    <row r="162" spans="2:9" x14ac:dyDescent="0.25">
      <c r="B162">
        <f t="shared" si="13"/>
        <v>111</v>
      </c>
      <c r="D162" s="251">
        <f t="shared" si="14"/>
        <v>3648</v>
      </c>
      <c r="E162" s="252">
        <f t="shared" si="12"/>
        <v>44813</v>
      </c>
      <c r="F162" s="253">
        <f t="shared" si="16"/>
        <v>751.57920000000013</v>
      </c>
      <c r="G162" s="222">
        <f t="shared" si="17"/>
        <v>50</v>
      </c>
      <c r="H162" s="253">
        <f t="shared" si="15"/>
        <v>26828</v>
      </c>
    </row>
    <row r="163" spans="2:9" x14ac:dyDescent="0.25">
      <c r="B163">
        <f t="shared" si="13"/>
        <v>112</v>
      </c>
      <c r="D163" s="251">
        <f t="shared" si="14"/>
        <v>3268</v>
      </c>
      <c r="E163" s="252">
        <f t="shared" si="12"/>
        <v>44814</v>
      </c>
      <c r="F163" s="253">
        <f t="shared" si="16"/>
        <v>751.57920000000013</v>
      </c>
      <c r="G163" s="222">
        <f t="shared" si="17"/>
        <v>49</v>
      </c>
      <c r="H163" s="253">
        <f t="shared" si="15"/>
        <v>27208</v>
      </c>
    </row>
    <row r="164" spans="2:9" x14ac:dyDescent="0.25">
      <c r="B164">
        <f t="shared" si="13"/>
        <v>113</v>
      </c>
      <c r="D164" s="251">
        <f t="shared" si="14"/>
        <v>2888</v>
      </c>
      <c r="E164" s="252">
        <f t="shared" si="12"/>
        <v>44815</v>
      </c>
      <c r="F164" s="253">
        <f t="shared" si="16"/>
        <v>751.57920000000013</v>
      </c>
      <c r="G164" s="222">
        <f t="shared" si="17"/>
        <v>48</v>
      </c>
      <c r="H164" s="253">
        <f t="shared" si="15"/>
        <v>27588</v>
      </c>
    </row>
    <row r="165" spans="2:9" x14ac:dyDescent="0.25">
      <c r="B165">
        <f t="shared" si="13"/>
        <v>114</v>
      </c>
      <c r="D165" s="251">
        <f t="shared" si="14"/>
        <v>2508</v>
      </c>
      <c r="E165" s="252">
        <f t="shared" si="12"/>
        <v>44816</v>
      </c>
      <c r="F165" s="253">
        <f t="shared" si="16"/>
        <v>751.57920000000013</v>
      </c>
      <c r="G165" s="222">
        <f t="shared" si="17"/>
        <v>47</v>
      </c>
      <c r="H165" s="253">
        <f t="shared" si="15"/>
        <v>27968</v>
      </c>
    </row>
    <row r="166" spans="2:9" x14ac:dyDescent="0.25">
      <c r="B166">
        <f t="shared" si="13"/>
        <v>115</v>
      </c>
      <c r="D166" s="251">
        <f t="shared" si="14"/>
        <v>2128</v>
      </c>
      <c r="E166" s="252">
        <f t="shared" si="12"/>
        <v>44817</v>
      </c>
      <c r="F166" s="253">
        <f t="shared" si="16"/>
        <v>751.57920000000013</v>
      </c>
      <c r="G166" s="222">
        <f t="shared" si="17"/>
        <v>46</v>
      </c>
      <c r="H166" s="253">
        <f t="shared" si="15"/>
        <v>28348</v>
      </c>
    </row>
    <row r="167" spans="2:9" x14ac:dyDescent="0.25">
      <c r="B167">
        <f t="shared" si="13"/>
        <v>116</v>
      </c>
      <c r="D167" s="251">
        <f t="shared" si="14"/>
        <v>1748</v>
      </c>
      <c r="E167" s="252">
        <f t="shared" si="12"/>
        <v>44818</v>
      </c>
      <c r="F167" s="253">
        <f t="shared" si="16"/>
        <v>751.57920000000013</v>
      </c>
      <c r="G167" s="222">
        <f t="shared" si="17"/>
        <v>45</v>
      </c>
      <c r="H167" s="253">
        <f t="shared" si="15"/>
        <v>28728</v>
      </c>
    </row>
    <row r="168" spans="2:9" x14ac:dyDescent="0.25">
      <c r="B168">
        <f t="shared" si="13"/>
        <v>117</v>
      </c>
      <c r="D168" s="251">
        <f t="shared" si="14"/>
        <v>1368</v>
      </c>
      <c r="E168" s="252">
        <f t="shared" si="12"/>
        <v>44819</v>
      </c>
      <c r="F168" s="253">
        <f t="shared" si="16"/>
        <v>751.57920000000013</v>
      </c>
      <c r="G168" s="222">
        <f t="shared" si="17"/>
        <v>44</v>
      </c>
      <c r="H168" s="253">
        <f t="shared" si="15"/>
        <v>29108</v>
      </c>
    </row>
    <row r="169" spans="2:9" x14ac:dyDescent="0.25">
      <c r="B169">
        <f t="shared" si="13"/>
        <v>118</v>
      </c>
      <c r="D169" s="251">
        <f t="shared" si="14"/>
        <v>988</v>
      </c>
      <c r="E169" s="252">
        <f t="shared" si="12"/>
        <v>44820</v>
      </c>
      <c r="F169" s="253">
        <f t="shared" si="16"/>
        <v>751.57920000000013</v>
      </c>
      <c r="G169" s="222">
        <f t="shared" si="17"/>
        <v>43</v>
      </c>
      <c r="H169" s="253">
        <f t="shared" si="15"/>
        <v>29488</v>
      </c>
    </row>
    <row r="170" spans="2:9" x14ac:dyDescent="0.25">
      <c r="B170">
        <f t="shared" si="13"/>
        <v>119</v>
      </c>
      <c r="D170" s="251">
        <f t="shared" si="14"/>
        <v>608</v>
      </c>
      <c r="E170" s="252">
        <f t="shared" si="12"/>
        <v>44821</v>
      </c>
      <c r="F170" s="253">
        <f t="shared" si="16"/>
        <v>751.57920000000013</v>
      </c>
      <c r="G170" s="222">
        <f t="shared" si="17"/>
        <v>42</v>
      </c>
      <c r="H170" s="253">
        <f t="shared" si="15"/>
        <v>29868</v>
      </c>
    </row>
    <row r="171" spans="2:9" x14ac:dyDescent="0.25">
      <c r="B171">
        <f>B172-1</f>
        <v>120</v>
      </c>
      <c r="D171" s="251">
        <f t="shared" si="14"/>
        <v>228</v>
      </c>
      <c r="E171" s="252">
        <f t="shared" si="12"/>
        <v>44822</v>
      </c>
      <c r="F171" s="253">
        <f t="shared" si="16"/>
        <v>751.57920000000013</v>
      </c>
      <c r="G171" s="222">
        <f t="shared" si="17"/>
        <v>41</v>
      </c>
      <c r="H171" s="253">
        <f t="shared" si="15"/>
        <v>30248</v>
      </c>
    </row>
    <row r="172" spans="2:9" x14ac:dyDescent="0.25">
      <c r="B172" s="60">
        <f>ROUND(E30/G26,0)</f>
        <v>121</v>
      </c>
      <c r="C172" s="60"/>
      <c r="D172" s="251">
        <f t="shared" si="14"/>
        <v>0</v>
      </c>
      <c r="E172" s="252">
        <f>B172+$E$10</f>
        <v>44823</v>
      </c>
      <c r="F172" s="253">
        <f t="shared" si="16"/>
        <v>751.57920000000013</v>
      </c>
      <c r="G172" s="222">
        <f t="shared" si="17"/>
        <v>40</v>
      </c>
      <c r="H172" s="253">
        <f t="shared" si="15"/>
        <v>30628</v>
      </c>
    </row>
    <row r="174" spans="2:9" ht="15.5" x14ac:dyDescent="0.35">
      <c r="B174" s="1" t="str">
        <f>"Premium = $"&amp;TEXT(E38,"#,###")</f>
        <v>Premium = $752</v>
      </c>
      <c r="C174" s="1"/>
      <c r="D174" s="256"/>
      <c r="E174" s="256"/>
      <c r="F174" s="256"/>
      <c r="G174" s="256"/>
      <c r="H174" s="257" t="str">
        <f>"Indemnity = $"&amp;TEXT(E48,"#,###")&amp;" or $"&amp;ROUND(E50,0)&amp;"/head"</f>
        <v>Indemnity = $7,448 or $51/head</v>
      </c>
      <c r="I174" s="256"/>
    </row>
    <row r="175" spans="2:9" x14ac:dyDescent="0.25">
      <c r="B175" s="256"/>
      <c r="C175" s="256"/>
      <c r="D175" s="256"/>
      <c r="E175" s="256"/>
      <c r="F175" s="256" t="s">
        <v>356</v>
      </c>
      <c r="G175" s="256" t="s">
        <v>357</v>
      </c>
      <c r="H175" s="256" t="str">
        <f>E45&amp;" Actual Grazing Days "</f>
        <v xml:space="preserve">101 Actual Grazing Days </v>
      </c>
      <c r="I175" s="256"/>
    </row>
    <row r="176" spans="2:9" x14ac:dyDescent="0.25">
      <c r="B176" s="256">
        <v>1</v>
      </c>
      <c r="C176" s="256"/>
      <c r="D176" s="256"/>
      <c r="E176" s="258">
        <f>$E$48</f>
        <v>7448</v>
      </c>
      <c r="F176" s="256"/>
      <c r="G176" s="256"/>
      <c r="H176" s="257">
        <f>$E$45</f>
        <v>101</v>
      </c>
      <c r="I176" s="256"/>
    </row>
    <row r="177" spans="2:9" x14ac:dyDescent="0.25">
      <c r="B177" s="259">
        <v>2</v>
      </c>
      <c r="C177" s="259"/>
      <c r="D177" s="256"/>
      <c r="E177" s="258">
        <f>$E$48</f>
        <v>7448</v>
      </c>
      <c r="F177" s="257">
        <f>ROUND(E8,0)</f>
        <v>134</v>
      </c>
      <c r="G177" s="257">
        <f>ROUND(E8*E9,0)</f>
        <v>121</v>
      </c>
      <c r="H177" s="257">
        <f t="shared" ref="H177:H178" si="18">$E$45</f>
        <v>101</v>
      </c>
      <c r="I177" s="256"/>
    </row>
    <row r="178" spans="2:9" x14ac:dyDescent="0.25">
      <c r="B178" s="256">
        <v>3</v>
      </c>
      <c r="C178" s="256"/>
      <c r="D178" s="256"/>
      <c r="E178" s="256"/>
      <c r="F178" s="256"/>
      <c r="G178" s="256"/>
      <c r="H178" s="257">
        <f t="shared" si="18"/>
        <v>101</v>
      </c>
      <c r="I178" s="256"/>
    </row>
    <row r="180" spans="2:9" x14ac:dyDescent="0.25">
      <c r="D180" t="str">
        <f>"Pasture Insurance Indemnity (based on "&amp;E26&amp;" Head @ "&amp;E8&amp;" days historic grazing period)"</f>
        <v>Pasture Insurance Indemnity (based on 146 Head @ 134 days historic grazing period)</v>
      </c>
    </row>
    <row r="181" spans="2:9" x14ac:dyDescent="0.25">
      <c r="D181" t="str">
        <f>"Pasture Insurance Indemnity = $"&amp;TEXT(E48,"#,###")&amp;" (based on "&amp;E26&amp;" Head @ "&amp;E8&amp;" days historic grazing period)"</f>
        <v>Pasture Insurance Indemnity = $7,448 (based on 146 Head @ 134 days historic grazing period)</v>
      </c>
    </row>
    <row r="182" spans="2:9" x14ac:dyDescent="0.25">
      <c r="F182" s="60" t="str">
        <f>F185&amp;" Pasture Days Covered by AgriInsurance"</f>
        <v>121 Pasture Days Covered by AgriInsurance</v>
      </c>
      <c r="G182" s="60" t="str">
        <f>G185&amp;" Pasture Days Uncovered by AgriInsurance"</f>
        <v>13 Pasture Days Uncovered by AgriInsurance</v>
      </c>
    </row>
    <row r="183" spans="2:9" x14ac:dyDescent="0.25">
      <c r="E183" s="60" t="s">
        <v>353</v>
      </c>
      <c r="F183" s="60" t="s">
        <v>354</v>
      </c>
      <c r="G183" s="60" t="s">
        <v>355</v>
      </c>
      <c r="H183" s="60" t="str">
        <f>E45&amp;" Actual Grazing Days (Indemnity = $"&amp;TEXT(E48,"#,###")&amp;" or $"&amp;ROUND(E50,0)&amp;"/hd)"</f>
        <v>101 Actual Grazing Days (Indemnity = $7,448 or $51/hd)</v>
      </c>
    </row>
    <row r="184" spans="2:9" x14ac:dyDescent="0.25">
      <c r="B184">
        <v>1</v>
      </c>
      <c r="E184" s="255">
        <f>$E$48</f>
        <v>7448</v>
      </c>
      <c r="H184" s="254">
        <f>$E$45</f>
        <v>101</v>
      </c>
    </row>
    <row r="185" spans="2:9" x14ac:dyDescent="0.25">
      <c r="B185" s="60">
        <v>2</v>
      </c>
      <c r="C185" s="60"/>
      <c r="E185" s="255">
        <f>$E$48</f>
        <v>7448</v>
      </c>
      <c r="F185">
        <f>ROUND(E8*E9,0)</f>
        <v>121</v>
      </c>
      <c r="G185" s="254">
        <f>E8-(ROUND(E8*E9,0))</f>
        <v>13</v>
      </c>
      <c r="H185" s="254">
        <f t="shared" ref="H185:H186" si="19">$E$45</f>
        <v>101</v>
      </c>
    </row>
    <row r="186" spans="2:9" x14ac:dyDescent="0.25">
      <c r="B186">
        <v>3</v>
      </c>
      <c r="H186" s="254">
        <f t="shared" si="19"/>
        <v>101</v>
      </c>
    </row>
    <row r="187" spans="2:9" x14ac:dyDescent="0.25">
      <c r="F187" t="s">
        <v>356</v>
      </c>
      <c r="G187" t="s">
        <v>357</v>
      </c>
      <c r="H187" t="str">
        <f>E45&amp;" Actual Grazing Days (Indemnity = $"&amp;TEXT(E48,"#,###")&amp;" or $"&amp;ROUND(E50,0)&amp;"/hd)"</f>
        <v>101 Actual Grazing Days (Indemnity = $7,448 or $51/hd)</v>
      </c>
    </row>
    <row r="188" spans="2:9" x14ac:dyDescent="0.25">
      <c r="B188">
        <v>1</v>
      </c>
      <c r="E188" s="255">
        <f>$E$48</f>
        <v>7448</v>
      </c>
      <c r="H188" s="254">
        <f>$E$45</f>
        <v>101</v>
      </c>
    </row>
    <row r="189" spans="2:9" x14ac:dyDescent="0.25">
      <c r="B189" s="60">
        <v>2</v>
      </c>
      <c r="C189" s="60"/>
      <c r="E189" s="255">
        <f>$E$48</f>
        <v>7448</v>
      </c>
      <c r="F189" s="254">
        <f>ROUND(E8,0)</f>
        <v>134</v>
      </c>
      <c r="G189" s="254">
        <f>ROUND(E8*E9,0)</f>
        <v>121</v>
      </c>
      <c r="H189" s="254">
        <f t="shared" ref="H189:H190" si="20">$E$45</f>
        <v>101</v>
      </c>
    </row>
    <row r="190" spans="2:9" x14ac:dyDescent="0.25">
      <c r="B190">
        <v>3</v>
      </c>
      <c r="H190" s="254">
        <f t="shared" si="20"/>
        <v>101</v>
      </c>
    </row>
    <row r="195" spans="2:4" ht="16" thickBot="1" x14ac:dyDescent="0.4">
      <c r="C195" s="264" t="s">
        <v>400</v>
      </c>
    </row>
    <row r="196" spans="2:4" ht="15.5" x14ac:dyDescent="0.35">
      <c r="C196" s="265" t="s">
        <v>309</v>
      </c>
    </row>
    <row r="197" spans="2:4" ht="15.5" x14ac:dyDescent="0.35">
      <c r="B197" s="1"/>
      <c r="C197" s="1" t="s">
        <v>377</v>
      </c>
      <c r="D197" s="1"/>
    </row>
    <row r="198" spans="2:4" ht="15.5" x14ac:dyDescent="0.35">
      <c r="B198" s="1"/>
      <c r="C198" s="1" t="s">
        <v>368</v>
      </c>
      <c r="D198" s="1"/>
    </row>
    <row r="199" spans="2:4" ht="15.5" x14ac:dyDescent="0.35">
      <c r="B199" s="1"/>
      <c r="C199" s="1" t="s">
        <v>369</v>
      </c>
      <c r="D199" s="1"/>
    </row>
    <row r="200" spans="2:4" ht="15.5" x14ac:dyDescent="0.35">
      <c r="B200" s="1"/>
      <c r="C200" s="1" t="s">
        <v>373</v>
      </c>
      <c r="D200" s="1"/>
    </row>
    <row r="201" spans="2:4" ht="15.5" x14ac:dyDescent="0.35">
      <c r="B201" s="1"/>
      <c r="C201" s="139" t="s">
        <v>401</v>
      </c>
      <c r="D201" s="1"/>
    </row>
    <row r="202" spans="2:4" ht="15.5" x14ac:dyDescent="0.35">
      <c r="B202" s="1"/>
      <c r="C202" s="139" t="s">
        <v>402</v>
      </c>
      <c r="D202" s="1"/>
    </row>
    <row r="203" spans="2:4" ht="15.5" x14ac:dyDescent="0.35">
      <c r="B203" s="1"/>
      <c r="C203" s="1" t="s">
        <v>386</v>
      </c>
      <c r="D203" s="1"/>
    </row>
    <row r="204" spans="2:4" ht="15.5" x14ac:dyDescent="0.35">
      <c r="B204" s="1"/>
      <c r="C204" s="1" t="s">
        <v>388</v>
      </c>
      <c r="D204" s="1"/>
    </row>
    <row r="205" spans="2:4" ht="15.5" x14ac:dyDescent="0.35">
      <c r="B205" s="1"/>
      <c r="C205" s="1" t="s">
        <v>392</v>
      </c>
      <c r="D205" s="1"/>
    </row>
    <row r="206" spans="2:4" ht="15.5" x14ac:dyDescent="0.35">
      <c r="B206" s="1"/>
      <c r="C206" s="1"/>
      <c r="D206" s="1"/>
    </row>
    <row r="207" spans="2:4" ht="15.5" x14ac:dyDescent="0.35">
      <c r="B207" s="1"/>
      <c r="C207" s="1"/>
      <c r="D207" s="1"/>
    </row>
    <row r="208" spans="2:4" ht="15.5" x14ac:dyDescent="0.35">
      <c r="B208" s="1"/>
      <c r="C208" s="1" t="s">
        <v>272</v>
      </c>
      <c r="D208" s="1"/>
    </row>
    <row r="209" spans="2:4" ht="16" thickBot="1" x14ac:dyDescent="0.4">
      <c r="B209" s="1"/>
      <c r="C209" s="201" t="s">
        <v>322</v>
      </c>
      <c r="D209" s="201"/>
    </row>
    <row r="210" spans="2:4" ht="15.5" x14ac:dyDescent="0.35">
      <c r="B210" s="1"/>
      <c r="C210" s="203" t="s">
        <v>309</v>
      </c>
      <c r="D210" s="204">
        <v>0</v>
      </c>
    </row>
    <row r="211" spans="2:4" ht="15.5" x14ac:dyDescent="0.35">
      <c r="B211" s="1" t="s">
        <v>377</v>
      </c>
      <c r="C211" s="205" t="s">
        <v>394</v>
      </c>
      <c r="D211" s="206">
        <v>1</v>
      </c>
    </row>
    <row r="212" spans="2:4" ht="15.5" x14ac:dyDescent="0.35">
      <c r="B212" s="1"/>
      <c r="C212" s="205" t="s">
        <v>398</v>
      </c>
      <c r="D212" s="206">
        <v>1.3</v>
      </c>
    </row>
    <row r="213" spans="2:4" ht="16" thickBot="1" x14ac:dyDescent="0.4">
      <c r="B213" s="1"/>
      <c r="C213" s="207" t="s">
        <v>396</v>
      </c>
      <c r="D213" s="208">
        <v>0.6</v>
      </c>
    </row>
    <row r="214" spans="2:4" ht="15.5" x14ac:dyDescent="0.35">
      <c r="B214" s="1" t="s">
        <v>368</v>
      </c>
      <c r="C214" s="1" t="s">
        <v>365</v>
      </c>
      <c r="D214" s="1">
        <v>0.25</v>
      </c>
    </row>
    <row r="215" spans="2:4" ht="15.5" x14ac:dyDescent="0.35">
      <c r="B215" s="1"/>
      <c r="C215" s="1" t="s">
        <v>366</v>
      </c>
      <c r="D215" s="1">
        <v>0.2</v>
      </c>
    </row>
    <row r="216" spans="2:4" ht="15.5" x14ac:dyDescent="0.35">
      <c r="B216" s="1"/>
      <c r="C216" s="1" t="s">
        <v>367</v>
      </c>
      <c r="D216" s="1">
        <v>0.15</v>
      </c>
    </row>
    <row r="217" spans="2:4" ht="15.5" x14ac:dyDescent="0.35">
      <c r="B217" s="1" t="s">
        <v>369</v>
      </c>
      <c r="C217" s="1" t="s">
        <v>370</v>
      </c>
      <c r="D217" s="1">
        <v>0.2</v>
      </c>
    </row>
    <row r="218" spans="2:4" ht="15.5" x14ac:dyDescent="0.35">
      <c r="B218" s="1"/>
      <c r="C218" s="1" t="s">
        <v>371</v>
      </c>
      <c r="D218" s="1">
        <v>0.1</v>
      </c>
    </row>
    <row r="219" spans="2:4" ht="15.5" x14ac:dyDescent="0.35">
      <c r="B219" s="1"/>
      <c r="C219" s="1" t="s">
        <v>372</v>
      </c>
      <c r="D219" s="1">
        <v>0.05</v>
      </c>
    </row>
    <row r="220" spans="2:4" ht="15.5" x14ac:dyDescent="0.35">
      <c r="B220" s="1" t="s">
        <v>373</v>
      </c>
      <c r="C220" s="1" t="s">
        <v>374</v>
      </c>
      <c r="D220" s="1">
        <v>1.5</v>
      </c>
    </row>
    <row r="221" spans="2:4" ht="15.5" x14ac:dyDescent="0.35">
      <c r="B221" s="1"/>
      <c r="C221" s="1" t="s">
        <v>375</v>
      </c>
      <c r="D221" s="1">
        <v>1.3</v>
      </c>
    </row>
    <row r="222" spans="2:4" ht="15.5" x14ac:dyDescent="0.35">
      <c r="B222" s="1"/>
      <c r="C222" s="1" t="s">
        <v>376</v>
      </c>
      <c r="D222" s="1">
        <v>0.75</v>
      </c>
    </row>
    <row r="223" spans="2:4" ht="15.5" x14ac:dyDescent="0.35">
      <c r="B223" s="171" t="s">
        <v>378</v>
      </c>
      <c r="C223" s="1" t="s">
        <v>381</v>
      </c>
      <c r="D223" s="1">
        <v>0.65</v>
      </c>
    </row>
    <row r="224" spans="2:4" ht="15.5" x14ac:dyDescent="0.35">
      <c r="B224" s="1"/>
      <c r="C224" s="1" t="s">
        <v>379</v>
      </c>
      <c r="D224" s="1">
        <v>0.5</v>
      </c>
    </row>
    <row r="225" spans="2:4" ht="15.5" x14ac:dyDescent="0.35">
      <c r="B225" s="1"/>
      <c r="C225" s="1" t="s">
        <v>380</v>
      </c>
      <c r="D225" s="1">
        <v>0.4</v>
      </c>
    </row>
    <row r="226" spans="2:4" ht="15.5" x14ac:dyDescent="0.35">
      <c r="B226" s="171" t="s">
        <v>382</v>
      </c>
      <c r="C226" s="1" t="s">
        <v>383</v>
      </c>
      <c r="D226" s="1">
        <v>0.3</v>
      </c>
    </row>
    <row r="227" spans="2:4" ht="15.5" x14ac:dyDescent="0.35">
      <c r="B227" s="1"/>
      <c r="C227" s="1" t="s">
        <v>384</v>
      </c>
      <c r="D227" s="1">
        <v>0.25</v>
      </c>
    </row>
    <row r="228" spans="2:4" ht="15.5" x14ac:dyDescent="0.35">
      <c r="B228" s="1"/>
      <c r="C228" s="1" t="s">
        <v>385</v>
      </c>
      <c r="D228" s="1">
        <v>0.2</v>
      </c>
    </row>
    <row r="229" spans="2:4" ht="15.5" x14ac:dyDescent="0.35">
      <c r="B229" s="1" t="s">
        <v>386</v>
      </c>
      <c r="C229" s="205" t="s">
        <v>397</v>
      </c>
      <c r="D229" s="1">
        <v>0.6</v>
      </c>
    </row>
    <row r="230" spans="2:4" ht="15.5" x14ac:dyDescent="0.35">
      <c r="B230" s="1"/>
      <c r="C230" s="205" t="s">
        <v>399</v>
      </c>
      <c r="D230" s="1">
        <v>0.75</v>
      </c>
    </row>
    <row r="231" spans="2:4" ht="16" thickBot="1" x14ac:dyDescent="0.4">
      <c r="B231" s="1"/>
      <c r="C231" s="207" t="s">
        <v>387</v>
      </c>
      <c r="D231" s="1">
        <v>0.4</v>
      </c>
    </row>
    <row r="232" spans="2:4" ht="15.5" x14ac:dyDescent="0.35">
      <c r="B232" s="1" t="s">
        <v>388</v>
      </c>
      <c r="C232" s="1" t="s">
        <v>389</v>
      </c>
      <c r="D232" s="1">
        <v>0.25</v>
      </c>
    </row>
    <row r="233" spans="2:4" ht="15.5" x14ac:dyDescent="0.35">
      <c r="B233" s="1"/>
      <c r="C233" s="1" t="s">
        <v>390</v>
      </c>
      <c r="D233" s="1">
        <v>0.2</v>
      </c>
    </row>
    <row r="234" spans="2:4" ht="15.5" x14ac:dyDescent="0.35">
      <c r="B234" s="1"/>
      <c r="C234" s="1" t="s">
        <v>391</v>
      </c>
      <c r="D234" s="1">
        <v>0.15</v>
      </c>
    </row>
    <row r="235" spans="2:4" ht="15.5" x14ac:dyDescent="0.35">
      <c r="B235" s="1" t="s">
        <v>392</v>
      </c>
      <c r="C235" s="205" t="s">
        <v>393</v>
      </c>
      <c r="D235" s="1">
        <v>1.3</v>
      </c>
    </row>
    <row r="236" spans="2:4" ht="15.5" x14ac:dyDescent="0.35">
      <c r="B236" s="1"/>
      <c r="C236" s="205" t="s">
        <v>394</v>
      </c>
      <c r="D236" s="1">
        <v>1</v>
      </c>
    </row>
    <row r="237" spans="2:4" ht="16" thickBot="1" x14ac:dyDescent="0.4">
      <c r="B237" s="1"/>
      <c r="C237" s="207" t="s">
        <v>395</v>
      </c>
      <c r="D237" s="1">
        <v>0.6</v>
      </c>
    </row>
  </sheetData>
  <mergeCells count="4">
    <mergeCell ref="A78:I79"/>
    <mergeCell ref="A53:J53"/>
    <mergeCell ref="H82:J82"/>
    <mergeCell ref="H83:J83"/>
  </mergeCells>
  <dataValidations count="2">
    <dataValidation type="list" allowBlank="1" showInputMessage="1" showErrorMessage="1" sqref="B20:B25" xr:uid="{00000000-0002-0000-0900-000000000000}">
      <formula1>Animal</formula1>
    </dataValidation>
    <dataValidation type="list" allowBlank="1" showInputMessage="1" showErrorMessage="1" sqref="C20:C25" xr:uid="{00000000-0002-0000-0900-000001000000}">
      <formula1>INDIRECT(SUBSTITUTE(B20," ",""))</formula1>
    </dataValidation>
  </dataValidations>
  <hyperlinks>
    <hyperlink ref="H82" r:id="rId1" display="MASC Patsure Days Insurance Factsheet" xr:uid="{00000000-0004-0000-0900-000000000000}"/>
    <hyperlink ref="H83" r:id="rId2" display="https://www.masc.mb.ca/masc.nsf/calculator_pasture_days.html" xr:uid="{00000000-0004-0000-0900-000001000000}"/>
    <hyperlink ref="H83:J83" r:id="rId3" display="MASC Pasture Days Insurance Calculator" xr:uid="{00000000-0004-0000-0900-000002000000}"/>
  </hyperlinks>
  <pageMargins left="0.7" right="0.7" top="0.75" bottom="0.75" header="0.3" footer="0.3"/>
  <pageSetup scale="52" orientation="portrait" horizontalDpi="1200" verticalDpi="1200" r:id="rId4"/>
  <drawing r:id="rId5"/>
  <legacy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216"/>
  <sheetViews>
    <sheetView zoomScale="80" zoomScaleNormal="80" workbookViewId="0"/>
  </sheetViews>
  <sheetFormatPr defaultRowHeight="12.5" x14ac:dyDescent="0.25"/>
  <cols>
    <col min="3" max="3" width="9.54296875" bestFit="1" customWidth="1"/>
    <col min="6" max="6" width="10.08984375" bestFit="1" customWidth="1"/>
  </cols>
  <sheetData>
    <row r="4" spans="2:5" ht="15.5" x14ac:dyDescent="0.35">
      <c r="B4" s="144" t="str">
        <f>"Impact of Stocking Rate on Pasture Cost Per Day"</f>
        <v>Impact of Stocking Rate on Pasture Cost Per Day</v>
      </c>
      <c r="C4" s="144"/>
      <c r="D4" s="144"/>
      <c r="E4" s="144"/>
    </row>
    <row r="5" spans="2:5" ht="15.5" x14ac:dyDescent="0.35">
      <c r="B5" s="144"/>
      <c r="C5" s="144"/>
      <c r="D5" s="144"/>
      <c r="E5" s="144"/>
    </row>
    <row r="6" spans="2:5" ht="15.5" x14ac:dyDescent="0.35">
      <c r="B6" s="175" t="s">
        <v>268</v>
      </c>
      <c r="C6" s="144" t="str">
        <f>"Improved Pasture (from "&amp;Input!E8&amp;" hd)"</f>
        <v>Improved Pasture (from 94 hd)</v>
      </c>
      <c r="D6" s="144" t="str">
        <f>"Marginal Pasture (from "&amp;Input!H8&amp;" hd)"</f>
        <v>Marginal Pasture (from 32 hd)</v>
      </c>
    </row>
    <row r="7" spans="2:5" ht="15.5" x14ac:dyDescent="0.35">
      <c r="B7" s="268">
        <f>SUM(B9*3)</f>
        <v>-6</v>
      </c>
      <c r="C7" s="176">
        <f>ROUND(ROUND(Summary!$C$39/ROUND(((Input!$E$8+(B7))/'Fixed Cost Input'!$E$4),2),2)/Input!$E$15,2)</f>
        <v>1.51</v>
      </c>
      <c r="D7" s="176">
        <f>ROUND(ROUND(Summary!$G$39/ROUND(((Input!$H$8+B7)/'Fixed Cost Input'!$I$4),2),2)/Input!$H$15,2)</f>
        <v>1.7</v>
      </c>
    </row>
    <row r="8" spans="2:5" ht="15.5" x14ac:dyDescent="0.35">
      <c r="B8" s="268">
        <f>SUM(B9*2)</f>
        <v>-4</v>
      </c>
      <c r="C8" s="176">
        <f>ROUND(ROUND(Summary!$C$39/ROUND(((Input!$E$8+(B8))/'Fixed Cost Input'!$E$4),2),2)/Input!$E$15,2)</f>
        <v>1.48</v>
      </c>
      <c r="D8" s="176">
        <f>ROUND(ROUND(Summary!$G$39/ROUND(((Input!$H$8+B8)/'Fixed Cost Input'!$I$4),2),2)/Input!$H$15,2)</f>
        <v>1.51</v>
      </c>
    </row>
    <row r="9" spans="2:5" ht="15.5" x14ac:dyDescent="0.35">
      <c r="B9" s="268">
        <f>-ABS(Risk!E7)</f>
        <v>-2</v>
      </c>
      <c r="C9" s="176">
        <f>ROUND(ROUND(Summary!$C$39/ROUND(((Input!$E$8+(B9))/'Fixed Cost Input'!$E$4),2),2)/Input!$E$15,2)</f>
        <v>1.43</v>
      </c>
      <c r="D9" s="176">
        <f>ROUND(ROUND(Summary!$G$39/ROUND(((Input!$H$8+B9)/'Fixed Cost Input'!$I$4),2),2)/Input!$H$15,2)</f>
        <v>1.43</v>
      </c>
    </row>
    <row r="10" spans="2:5" ht="15.5" x14ac:dyDescent="0.35">
      <c r="B10" s="268">
        <v>0</v>
      </c>
      <c r="C10" s="177">
        <f>Summary!E39</f>
        <v>1.4094100000000003</v>
      </c>
      <c r="D10" s="177">
        <f>Summary!I39</f>
        <v>1.3553074602314814</v>
      </c>
    </row>
    <row r="11" spans="2:5" ht="15.5" x14ac:dyDescent="0.35">
      <c r="B11" s="268">
        <f>ABS(Risk!E7)</f>
        <v>2</v>
      </c>
      <c r="C11" s="176">
        <f>ROUND(ROUND(Summary!$C$39/ROUND(((Input!$E$8+(B11))/'Fixed Cost Input'!$E$4),2),2)/Input!$E$15,2)</f>
        <v>1.38</v>
      </c>
      <c r="D11" s="176">
        <f>ROUND(ROUND(Summary!$G$39/ROUND(((Input!$H$8+B11)/'Fixed Cost Input'!$I$4),2),2)/Input!$H$15,2)</f>
        <v>1.29</v>
      </c>
    </row>
    <row r="12" spans="2:5" ht="15.5" x14ac:dyDescent="0.35">
      <c r="B12" s="268">
        <f>SUM(B11*2)</f>
        <v>4</v>
      </c>
      <c r="C12" s="176">
        <f>ROUND(ROUND(Summary!$C$39/ROUND(((Input!$E$8+(B12))/'Fixed Cost Input'!$E$4),2),2)/Input!$E$15,2)</f>
        <v>1.36</v>
      </c>
      <c r="D12" s="176">
        <f>ROUND(ROUND(Summary!$G$39/ROUND(((Input!$H$8+B12)/'Fixed Cost Input'!$I$4),2),2)/Input!$H$15,2)</f>
        <v>1.18</v>
      </c>
    </row>
    <row r="13" spans="2:5" ht="15.5" x14ac:dyDescent="0.35">
      <c r="B13" s="268">
        <f>SUM(B11*3)</f>
        <v>6</v>
      </c>
      <c r="C13" s="176">
        <f>ROUND(ROUND(Summary!$C$39/ROUND(((Input!$E$8+(B13))/'Fixed Cost Input'!$E$4),2),2)/Input!$E$15,2)</f>
        <v>1.32</v>
      </c>
      <c r="D13" s="176">
        <f>ROUND(ROUND(Summary!$G$39/ROUND(((Input!$H$8+B13)/'Fixed Cost Input'!$I$4),2),2)/Input!$H$15,2)</f>
        <v>1.1299999999999999</v>
      </c>
    </row>
    <row r="22" spans="2:4" ht="15.5" x14ac:dyDescent="0.35">
      <c r="B22" s="144" t="str">
        <f>"Impact of Grazing Days on Pasture Cost Per Day"</f>
        <v>Impact of Grazing Days on Pasture Cost Per Day</v>
      </c>
      <c r="C22" s="144"/>
      <c r="D22" s="144"/>
    </row>
    <row r="23" spans="2:4" ht="15.5" x14ac:dyDescent="0.35">
      <c r="B23" s="144"/>
      <c r="C23" s="144"/>
      <c r="D23" s="144"/>
    </row>
    <row r="24" spans="2:4" ht="15.5" x14ac:dyDescent="0.35">
      <c r="B24" s="175" t="s">
        <v>269</v>
      </c>
      <c r="C24" s="144" t="str">
        <f>"Improved Pasture (from "&amp;Input!E15&amp;" days)"</f>
        <v>Improved Pasture (from 135 days)</v>
      </c>
      <c r="D24" s="144" t="str">
        <f>"Marginal Pasture (from "&amp;Input!H15&amp;" days)"</f>
        <v>Marginal Pasture (from 135 days)</v>
      </c>
    </row>
    <row r="25" spans="2:4" ht="15.5" x14ac:dyDescent="0.35">
      <c r="B25" s="268">
        <f>SUM(B27*3)</f>
        <v>-15</v>
      </c>
      <c r="C25" s="176">
        <f>ROUND(ROUND(Summary!$C$39/ROUND(((Input!$E$8)/'Fixed Cost Input'!$E$4),2),2)/(Input!$E$15+B25),2)</f>
        <v>1.58</v>
      </c>
      <c r="D25" s="176">
        <f>ROUND(ROUND(Summary!$G$39/ROUND(((Input!$H$8)/'Fixed Cost Input'!$I$4),2),2)/(Input!$H$15+B25),2)</f>
        <v>1.53</v>
      </c>
    </row>
    <row r="26" spans="2:4" ht="15.5" x14ac:dyDescent="0.35">
      <c r="B26" s="268">
        <f>SUM(B27*2)</f>
        <v>-10</v>
      </c>
      <c r="C26" s="176">
        <f>ROUND(ROUND(Summary!$C$39/ROUND(((Input!$E$8)/'Fixed Cost Input'!$E$4),2),2)/(Input!$E$15+B26),2)</f>
        <v>1.52</v>
      </c>
      <c r="D26" s="176">
        <f>ROUND(ROUND(Summary!$G$39/ROUND(((Input!$H$8)/'Fixed Cost Input'!$I$4),2),2)/(Input!$H$15+B26),2)</f>
        <v>1.46</v>
      </c>
    </row>
    <row r="27" spans="2:4" ht="15.5" x14ac:dyDescent="0.35">
      <c r="B27" s="268">
        <f>-ABS(Risk!E8)</f>
        <v>-5</v>
      </c>
      <c r="C27" s="176">
        <f>ROUND(ROUND(Summary!$C$39/ROUND(((Input!$E$8)/'Fixed Cost Input'!$E$4),2),2)/(Input!$E$15+B27),2)</f>
        <v>1.46</v>
      </c>
      <c r="D27" s="176">
        <f>ROUND(ROUND(Summary!$G$39/ROUND(((Input!$H$8)/'Fixed Cost Input'!$I$4),2),2)/(Input!$H$15+B27),2)</f>
        <v>1.41</v>
      </c>
    </row>
    <row r="28" spans="2:4" ht="15.5" x14ac:dyDescent="0.35">
      <c r="B28" s="268">
        <v>0</v>
      </c>
      <c r="C28" s="177">
        <f>Summary!E39</f>
        <v>1.4094100000000003</v>
      </c>
      <c r="D28" s="177">
        <f>Summary!I39</f>
        <v>1.3553074602314814</v>
      </c>
    </row>
    <row r="29" spans="2:4" ht="15.5" x14ac:dyDescent="0.35">
      <c r="B29" s="268">
        <f>ABS(Risk!E8)</f>
        <v>5</v>
      </c>
      <c r="C29" s="176">
        <f>ROUND(ROUND(Summary!$C$39/ROUND(((Input!$E$8)/'Fixed Cost Input'!$E$4),2),2)/(Input!$E$15+B29),2)</f>
        <v>1.35</v>
      </c>
      <c r="D29" s="176">
        <f>ROUND(ROUND(Summary!$G$39/ROUND(((Input!$H$8)/'Fixed Cost Input'!$I$4),2),2)/(Input!$H$15+B29),2)</f>
        <v>1.31</v>
      </c>
    </row>
    <row r="30" spans="2:4" ht="15.5" x14ac:dyDescent="0.35">
      <c r="B30" s="268">
        <f>SUM(B29*2)</f>
        <v>10</v>
      </c>
      <c r="C30" s="176">
        <f>ROUND(ROUND(Summary!$C$39/ROUND(((Input!$E$8)/'Fixed Cost Input'!$E$4),2),2)/(Input!$E$15+B30),2)</f>
        <v>1.31</v>
      </c>
      <c r="D30" s="176">
        <f>ROUND(ROUND(Summary!$G$39/ROUND(((Input!$H$8)/'Fixed Cost Input'!$I$4),2),2)/(Input!$H$15+B30),2)</f>
        <v>1.26</v>
      </c>
    </row>
    <row r="31" spans="2:4" ht="15.5" x14ac:dyDescent="0.35">
      <c r="B31" s="268">
        <f>SUM(B29*3)</f>
        <v>15</v>
      </c>
      <c r="C31" s="176">
        <f>ROUND(ROUND(Summary!$C$39/ROUND(((Input!$E$8)/'Fixed Cost Input'!$E$4),2),2)/(Input!$E$15+B31),2)</f>
        <v>1.26</v>
      </c>
      <c r="D31" s="176">
        <f>ROUND(ROUND(Summary!$G$39/ROUND(((Input!$H$8)/'Fixed Cost Input'!$I$4),2),2)/(Input!$H$15+B31),2)</f>
        <v>1.22</v>
      </c>
    </row>
    <row r="43" spans="2:4" ht="15.5" x14ac:dyDescent="0.35">
      <c r="B43" s="144" t="str">
        <f>"Impact of Land Value on Pasture Cost Per Day (@"&amp;'Fixed Cost Input'!D13*100&amp;"% for "&amp;'Fixed Cost Input'!E13&amp;" yrs) "</f>
        <v xml:space="preserve">Impact of Land Value on Pasture Cost Per Day (@6% for 25 yrs) </v>
      </c>
      <c r="C43" s="144"/>
      <c r="D43" s="144"/>
    </row>
    <row r="44" spans="2:4" ht="15.5" x14ac:dyDescent="0.35">
      <c r="B44" s="144"/>
      <c r="C44" s="144"/>
      <c r="D44" s="144"/>
    </row>
    <row r="45" spans="2:4" ht="15.5" x14ac:dyDescent="0.35">
      <c r="B45" s="175" t="s">
        <v>269</v>
      </c>
      <c r="C45" s="144" t="str">
        <f>"Improved Pasture (from "&amp;TEXT('Fixed Cost Input'!E6,"$#,###")&amp;"/ac)"</f>
        <v>Improved Pasture (from $1,875/ac)</v>
      </c>
      <c r="D45" s="144" t="str">
        <f>"Marginal Pasture (from "&amp;TEXT('Fixed Cost Input'!I6,"$#,###")&amp;"/ac)"</f>
        <v>Marginal Pasture (from $844/ac)</v>
      </c>
    </row>
    <row r="46" spans="2:4" ht="15.5" x14ac:dyDescent="0.35">
      <c r="B46" s="269">
        <f>SUM(B48*3)</f>
        <v>-300</v>
      </c>
      <c r="C46" s="176">
        <f>Summary!$E$39-(Summary!$E$29-ROUND((-PMT('Fixed Cost Input'!$D$13,'Fixed Cost Input'!$E$13,('Fixed Cost Input'!$E$6+B46)*'Fixed Cost Input'!$E$9,0)+(('Fixed Cost Input'!$E$6+Risk!$E$10)*'Fixed Cost Input'!$E$8*'Fixed Cost Input'!$E$10))/Input!$E$9/Input!$E$15,2))</f>
        <v>1.3394100000000002</v>
      </c>
      <c r="D46" s="176">
        <f>Summary!$I$39-(Summary!$I$29-ROUND((-PMT('Fixed Cost Input'!$H$13,'Fixed Cost Input'!$I$13,('Fixed Cost Input'!$I$6+B46)*'Fixed Cost Input'!$I$9,0)+(('Fixed Cost Input'!$I$6+Risk!$I$10)*'Fixed Cost Input'!$I$8*'Fixed Cost Input'!$I$10))/Input!$H$9/Input!$H$15,2))</f>
        <v>1.1353074602314814</v>
      </c>
    </row>
    <row r="47" spans="2:4" ht="15.5" x14ac:dyDescent="0.35">
      <c r="B47" s="269">
        <f>SUM(B48*2)</f>
        <v>-200</v>
      </c>
      <c r="C47" s="176">
        <f>Summary!$E$39-(Summary!$E$29-ROUND((-PMT('Fixed Cost Input'!$D$13,'Fixed Cost Input'!$E$13,('Fixed Cost Input'!$E$6+B47)*'Fixed Cost Input'!$E$9,0)+(('Fixed Cost Input'!$E$6+Risk!$E$10)*'Fixed Cost Input'!$E$8*'Fixed Cost Input'!$E$10))/Input!$E$9/Input!$E$15,2))</f>
        <v>1.3594100000000002</v>
      </c>
      <c r="D47" s="176">
        <f>Summary!$I$39-(Summary!$I$29-ROUND((-PMT('Fixed Cost Input'!$H$13,'Fixed Cost Input'!$I$13,('Fixed Cost Input'!$I$6+B47)*'Fixed Cost Input'!$I$9,0)+(('Fixed Cost Input'!$I$6+Risk!$I$10)*'Fixed Cost Input'!$I$8*'Fixed Cost Input'!$I$10))/Input!$H$9/Input!$H$15,2))</f>
        <v>1.2153074602314815</v>
      </c>
    </row>
    <row r="48" spans="2:4" ht="15.5" x14ac:dyDescent="0.35">
      <c r="B48" s="269">
        <f>-ABS(Risk!E10)</f>
        <v>-100</v>
      </c>
      <c r="C48" s="176">
        <f>Summary!$E$39-(Summary!$E$29-ROUND((-PMT('Fixed Cost Input'!$D$13,'Fixed Cost Input'!$E$13,('Fixed Cost Input'!$E$6+B48)*'Fixed Cost Input'!$E$9,0)+(('Fixed Cost Input'!$E$6+Risk!$E$10)*'Fixed Cost Input'!$E$8*'Fixed Cost Input'!$E$10))/Input!$E$9/Input!$E$15,2))</f>
        <v>1.3894100000000003</v>
      </c>
      <c r="D48" s="176">
        <f>Summary!$I$39-(Summary!$I$29-ROUND((-PMT('Fixed Cost Input'!$H$13,'Fixed Cost Input'!$I$13,('Fixed Cost Input'!$I$6+B48)*'Fixed Cost Input'!$I$9,0)+(('Fixed Cost Input'!$I$6+Risk!$I$10)*'Fixed Cost Input'!$I$8*'Fixed Cost Input'!$I$10))/Input!$H$9/Input!$H$15,2))</f>
        <v>1.2853074602314813</v>
      </c>
    </row>
    <row r="49" spans="2:4" ht="15.5" x14ac:dyDescent="0.35">
      <c r="B49" s="269">
        <v>0</v>
      </c>
      <c r="C49" s="177">
        <f>Summary!E39</f>
        <v>1.4094100000000003</v>
      </c>
      <c r="D49" s="177">
        <f>Summary!I39</f>
        <v>1.3553074602314814</v>
      </c>
    </row>
    <row r="50" spans="2:4" ht="15.5" x14ac:dyDescent="0.35">
      <c r="B50" s="269">
        <f>ABS(Risk!E10)</f>
        <v>100</v>
      </c>
      <c r="C50" s="176">
        <f>Summary!$E$39-(Summary!$E$29-ROUND((-PMT('Fixed Cost Input'!$D$13,'Fixed Cost Input'!$E$13,('Fixed Cost Input'!$E$6+B50)*'Fixed Cost Input'!$E$9,0)+(('Fixed Cost Input'!$E$6+Risk!$E$10)*'Fixed Cost Input'!$E$8*'Fixed Cost Input'!$E$10))/Input!$E$9/Input!$E$15,2))</f>
        <v>1.4294100000000003</v>
      </c>
      <c r="D50" s="176">
        <f>Summary!$I$39-(Summary!$I$29-ROUND((-PMT('Fixed Cost Input'!$H$13,'Fixed Cost Input'!$I$13,('Fixed Cost Input'!$I$6+B50)*'Fixed Cost Input'!$I$9,0)+(('Fixed Cost Input'!$I$6+Risk!$I$10)*'Fixed Cost Input'!$I$8*'Fixed Cost Input'!$I$10))/Input!$H$9/Input!$H$15,2))</f>
        <v>1.4253074602314815</v>
      </c>
    </row>
    <row r="51" spans="2:4" ht="15.5" x14ac:dyDescent="0.35">
      <c r="B51" s="269">
        <f>SUM(B50*2)</f>
        <v>200</v>
      </c>
      <c r="C51" s="176">
        <f>Summary!$E$39-(Summary!$E$29-ROUND((-PMT('Fixed Cost Input'!$D$13,'Fixed Cost Input'!$E$13,('Fixed Cost Input'!$E$6+B51)*'Fixed Cost Input'!$E$9,0)+(('Fixed Cost Input'!$E$6+Risk!$E$10)*'Fixed Cost Input'!$E$8*'Fixed Cost Input'!$E$10))/Input!$E$9/Input!$E$15,2))</f>
        <v>1.4594100000000003</v>
      </c>
      <c r="D51" s="176">
        <f>Summary!$I$39-(Summary!$I$29-ROUND((-PMT('Fixed Cost Input'!$H$13,'Fixed Cost Input'!$I$13,('Fixed Cost Input'!$I$6+B51)*'Fixed Cost Input'!$I$9,0)+(('Fixed Cost Input'!$I$6+Risk!$I$10)*'Fixed Cost Input'!$I$8*'Fixed Cost Input'!$I$10))/Input!$H$9/Input!$H$15,2))</f>
        <v>1.5053074602314815</v>
      </c>
    </row>
    <row r="52" spans="2:4" ht="15.5" x14ac:dyDescent="0.35">
      <c r="B52" s="269">
        <f>SUM(B50*3)</f>
        <v>300</v>
      </c>
      <c r="C52" s="176">
        <f>Summary!$E$39-(Summary!$E$29-ROUND((-PMT('Fixed Cost Input'!$D$13,'Fixed Cost Input'!$E$13,('Fixed Cost Input'!$E$6+B52)*'Fixed Cost Input'!$E$9,0)+(('Fixed Cost Input'!$E$6+Risk!$E$10)*'Fixed Cost Input'!$E$8*'Fixed Cost Input'!$E$10))/Input!$E$9/Input!$E$15,2))</f>
        <v>1.4794100000000003</v>
      </c>
      <c r="D52" s="176">
        <f>Summary!$I$39-(Summary!$I$29-ROUND((-PMT('Fixed Cost Input'!$H$13,'Fixed Cost Input'!$I$13,('Fixed Cost Input'!$I$6+B52)*'Fixed Cost Input'!$I$9,0)+(('Fixed Cost Input'!$I$6+Risk!$I$10)*'Fixed Cost Input'!$I$8*'Fixed Cost Input'!$I$10))/Input!$H$9/Input!$H$15,2))</f>
        <v>1.5753074602314814</v>
      </c>
    </row>
    <row r="65" spans="2:19" ht="15.5" x14ac:dyDescent="0.35">
      <c r="B65" s="144" t="str">
        <f>"Impact of Owned Pasture Equity on Pasture Cost Per Day (@"&amp;'Fixed Cost Input'!D13*100&amp;"% for "&amp;'Fixed Cost Input'!E13&amp;" yrs) "</f>
        <v xml:space="preserve">Impact of Owned Pasture Equity on Pasture Cost Per Day (@6% for 25 yrs) </v>
      </c>
      <c r="C65" s="144"/>
      <c r="D65" s="144"/>
      <c r="Q65" s="144" t="str">
        <f>"Impact of Interest Rates on Pasture Cost Per Day (@" &amp;'Fixed Cost Input'!I8*100&amp;"% equity for "&amp;'Fixed Cost Input'!E13&amp;" yrs) "</f>
        <v xml:space="preserve">Impact of Interest Rates on Pasture Cost Per Day (@75% equity for 25 yrs) </v>
      </c>
      <c r="R65" s="144"/>
      <c r="S65" s="144"/>
    </row>
    <row r="66" spans="2:19" ht="15.5" x14ac:dyDescent="0.35">
      <c r="B66" s="144"/>
      <c r="C66" s="144"/>
      <c r="D66" s="144"/>
      <c r="Q66" s="144"/>
      <c r="R66" s="144"/>
      <c r="S66" s="144"/>
    </row>
    <row r="67" spans="2:19" ht="15.5" x14ac:dyDescent="0.35">
      <c r="B67" s="175" t="s">
        <v>270</v>
      </c>
      <c r="C67" s="144" t="str">
        <f>"Improved Pasture (from "&amp;'Fixed Cost Input'!E8*100&amp;"% equity)"</f>
        <v>Improved Pasture (from 75% equity)</v>
      </c>
      <c r="D67" s="144" t="str">
        <f>"Marginal Pasture (from "&amp;'Fixed Cost Input'!I8*100&amp;"% equity)"</f>
        <v>Marginal Pasture (from 75% equity)</v>
      </c>
      <c r="Q67" s="175" t="s">
        <v>406</v>
      </c>
      <c r="R67" s="144" t="str">
        <f>"Improved Pasture (from "&amp;'Fixed Cost Input'!D13*100&amp;"%)"</f>
        <v>Improved Pasture (from 6%)</v>
      </c>
      <c r="S67" s="144" t="str">
        <f>"Marginal Pasture (from "&amp;'Fixed Cost Input'!H13*100&amp;"%)"</f>
        <v>Marginal Pasture (from 6%)</v>
      </c>
    </row>
    <row r="68" spans="2:19" ht="15.5" x14ac:dyDescent="0.35">
      <c r="B68" s="270">
        <f>SUM(B70*3)</f>
        <v>-0.15000000000000002</v>
      </c>
      <c r="C68" s="176">
        <f>Summary!$E$39-(Summary!$E$29-ROUND((-PMT('Fixed Cost Input'!$D$13,'Fixed Cost Input'!$E$13,'Fixed Cost Input'!$E$6*('Fixed Cost Input'!$E$9-B68),0)+('Fixed Cost Input'!$E$6*('Fixed Cost Input'!$E$8+Risk!$E$11)*'Fixed Cost Input'!$E$10))/Input!$E$9/Input!$E$15,2))</f>
        <v>1.6894100000000003</v>
      </c>
      <c r="D68" s="176">
        <f>Summary!$I$39-(Summary!$I$29-ROUND((-PMT('Fixed Cost Input'!$H$13,'Fixed Cost Input'!$I$13,'Fixed Cost Input'!$I$6*('Fixed Cost Input'!$I$9-B68),0)+('Fixed Cost Input'!$I$6*('Fixed Cost Input'!$I$8+Risk!$I$11)*'Fixed Cost Input'!$I$10))/Input!$H$9/Input!$H$15,2))</f>
        <v>1.7253074602314813</v>
      </c>
      <c r="Q68" s="275">
        <f>SUM(Q70*3)</f>
        <v>-1.4999999999999999E-2</v>
      </c>
      <c r="R68" s="176">
        <f>Summary!$E$39-(Summary!$E$29-ROUND((-PMT('Fixed Cost Input'!$D$13+Q68,'Fixed Cost Input'!$E$13,('Fixed Cost Input'!$E$6)*'Fixed Cost Input'!$E$9,0)+(('Fixed Cost Input'!$E$6)*'Fixed Cost Input'!$E$8*'Fixed Cost Input'!$E$10))/Input!$E$9/Input!$E$15,2))</f>
        <v>1.3494100000000002</v>
      </c>
      <c r="S68" s="176">
        <f>Summary!$I$39-(Summary!$I$29-ROUND((-PMT('Fixed Cost Input'!$H$13+Q68,'Fixed Cost Input'!$I$13,('Fixed Cost Input'!$I$6)*'Fixed Cost Input'!$I$9,0)+(('Fixed Cost Input'!$I$6)*'Fixed Cost Input'!$I$8*'Fixed Cost Input'!$I$10))/Input!$H$9/Input!$H$15,2))</f>
        <v>1.2753074602314816</v>
      </c>
    </row>
    <row r="69" spans="2:19" ht="15.5" x14ac:dyDescent="0.35">
      <c r="B69" s="270">
        <f>SUM(B70*2)</f>
        <v>-0.1</v>
      </c>
      <c r="C69" s="176">
        <f>Summary!$E$39-(Summary!$E$29-ROUND((-PMT('Fixed Cost Input'!$D$13,'Fixed Cost Input'!$E$13,'Fixed Cost Input'!$E$6*('Fixed Cost Input'!$E$9-B69),0)+('Fixed Cost Input'!$E$6*('Fixed Cost Input'!$E$8+Risk!$E$11)*'Fixed Cost Input'!$E$10))/Input!$E$9/Input!$E$15,2))</f>
        <v>1.5894100000000002</v>
      </c>
      <c r="D69" s="176">
        <f>Summary!$I$39-(Summary!$I$29-ROUND((-PMT('Fixed Cost Input'!$H$13,'Fixed Cost Input'!$I$13,'Fixed Cost Input'!$I$6*('Fixed Cost Input'!$I$9-B69),0)+('Fixed Cost Input'!$I$6*('Fixed Cost Input'!$I$8+Risk!$I$11)*'Fixed Cost Input'!$I$10))/Input!$H$9/Input!$H$15,2))</f>
        <v>1.6053074602314814</v>
      </c>
      <c r="Q69" s="275">
        <f>SUM(Q70*2)</f>
        <v>-0.01</v>
      </c>
      <c r="R69" s="176">
        <f>Summary!$E$39-(Summary!$E$29-ROUND((-PMT('Fixed Cost Input'!$D$13+Q69,'Fixed Cost Input'!$E$13,('Fixed Cost Input'!$E$6)*'Fixed Cost Input'!$E$9,0)+(('Fixed Cost Input'!$E$6)*'Fixed Cost Input'!$E$8*'Fixed Cost Input'!$E$10))/Input!$E$9/Input!$E$15,2))</f>
        <v>1.3694100000000002</v>
      </c>
      <c r="S69" s="176">
        <f>Summary!$I$39-(Summary!$I$29-ROUND((-PMT('Fixed Cost Input'!$H$13+Q69,'Fixed Cost Input'!$I$13,('Fixed Cost Input'!$I$6)*'Fixed Cost Input'!$I$9,0)+(('Fixed Cost Input'!$I$6)*'Fixed Cost Input'!$I$8*'Fixed Cost Input'!$I$10))/Input!$H$9/Input!$H$15,2))</f>
        <v>1.2953074602314816</v>
      </c>
    </row>
    <row r="70" spans="2:19" ht="15.5" x14ac:dyDescent="0.35">
      <c r="B70" s="270">
        <f>-ABS(Risk!E11)</f>
        <v>-0.05</v>
      </c>
      <c r="C70" s="176">
        <f>Summary!$E$39-(Summary!$E$29-ROUND((-PMT('Fixed Cost Input'!$D$13,'Fixed Cost Input'!$E$13,'Fixed Cost Input'!$E$6*('Fixed Cost Input'!$E$9-B70),0)+('Fixed Cost Input'!$E$6*('Fixed Cost Input'!$E$8+Risk!$E$11)*'Fixed Cost Input'!$E$10))/Input!$E$9/Input!$E$15,2))</f>
        <v>1.4994100000000004</v>
      </c>
      <c r="D70" s="176">
        <f>Summary!$I$39-(Summary!$I$29-ROUND((-PMT('Fixed Cost Input'!$H$13,'Fixed Cost Input'!$I$13,'Fixed Cost Input'!$I$6*('Fixed Cost Input'!$I$9-B70),0)+('Fixed Cost Input'!$I$6*('Fixed Cost Input'!$I$8+Risk!$I$11)*'Fixed Cost Input'!$I$10))/Input!$H$9/Input!$H$15,2))</f>
        <v>1.4753074602314813</v>
      </c>
      <c r="Q70" s="275">
        <f>-ABS(Risk!E13)</f>
        <v>-5.0000000000000001E-3</v>
      </c>
      <c r="R70" s="176">
        <f>Summary!$E$39-(Summary!$E$29-ROUND((-PMT('Fixed Cost Input'!$D$13+Q70,'Fixed Cost Input'!$E$13,('Fixed Cost Input'!$E$6)*'Fixed Cost Input'!$E$9,0)+(('Fixed Cost Input'!$E$6)*'Fixed Cost Input'!$E$8*'Fixed Cost Input'!$E$10))/Input!$E$9/Input!$E$15,2))</f>
        <v>1.3894100000000003</v>
      </c>
      <c r="S70" s="176">
        <f>Summary!$I$39-(Summary!$I$29-ROUND((-PMT('Fixed Cost Input'!$H$13+Q70,'Fixed Cost Input'!$I$13,('Fixed Cost Input'!$I$6)*'Fixed Cost Input'!$I$9,0)+(('Fixed Cost Input'!$I$6)*'Fixed Cost Input'!$I$8*'Fixed Cost Input'!$I$10))/Input!$H$9/Input!$H$15,2))</f>
        <v>1.3253074602314814</v>
      </c>
    </row>
    <row r="71" spans="2:19" ht="15.5" x14ac:dyDescent="0.35">
      <c r="B71" s="178">
        <v>0</v>
      </c>
      <c r="C71" s="177">
        <f>Summary!E39</f>
        <v>1.4094100000000003</v>
      </c>
      <c r="D71" s="177">
        <f>Summary!I39</f>
        <v>1.3553074602314814</v>
      </c>
      <c r="Q71" s="276">
        <v>0</v>
      </c>
      <c r="R71" s="177">
        <f>Summary!E39</f>
        <v>1.4094100000000003</v>
      </c>
      <c r="S71" s="177">
        <f>Summary!I39</f>
        <v>1.3553074602314814</v>
      </c>
    </row>
    <row r="72" spans="2:19" ht="15.5" x14ac:dyDescent="0.35">
      <c r="B72" s="270">
        <f>ABS(Risk!E11)</f>
        <v>0.05</v>
      </c>
      <c r="C72" s="176">
        <f>Summary!$E$39-(Summary!$E$29-ROUND((-PMT('Fixed Cost Input'!$D$13,'Fixed Cost Input'!$E$13,'Fixed Cost Input'!$E$6*('Fixed Cost Input'!$E$9-B72),0)+('Fixed Cost Input'!$E$6*('Fixed Cost Input'!$E$8+Risk!$E$11)*'Fixed Cost Input'!$E$10))/Input!$E$9/Input!$E$15,2))</f>
        <v>1.3194100000000002</v>
      </c>
      <c r="D72" s="176">
        <f>Summary!$I$39-(Summary!$I$29-ROUND((-PMT('Fixed Cost Input'!$H$13,'Fixed Cost Input'!$I$13,'Fixed Cost Input'!$I$6*('Fixed Cost Input'!$I$9-B72),0)+('Fixed Cost Input'!$I$6*('Fixed Cost Input'!$I$8+Risk!$I$11)*'Fixed Cost Input'!$I$10))/Input!$H$9/Input!$H$15,2))</f>
        <v>1.2353074602314815</v>
      </c>
      <c r="Q72" s="275">
        <f>ABS(Risk!E13)</f>
        <v>5.0000000000000001E-3</v>
      </c>
      <c r="R72" s="176">
        <f>Summary!$E$39-(Summary!$E$29-ROUND((-PMT('Fixed Cost Input'!$D$13+Q72,'Fixed Cost Input'!$E$13,('Fixed Cost Input'!$E$6)*'Fixed Cost Input'!$E$9,0)+(('Fixed Cost Input'!$E$6)*'Fixed Cost Input'!$E$8*'Fixed Cost Input'!$E$10))/Input!$E$9/Input!$E$15,2))</f>
        <v>1.4294100000000003</v>
      </c>
      <c r="S72" s="176">
        <f>Summary!$I$39-(Summary!$I$29-ROUND((-PMT('Fixed Cost Input'!$H$13+Q72,'Fixed Cost Input'!$I$13,('Fixed Cost Input'!$I$6)*'Fixed Cost Input'!$I$9,0)+(('Fixed Cost Input'!$I$6)*'Fixed Cost Input'!$I$8*'Fixed Cost Input'!$I$10))/Input!$H$9/Input!$H$15,2))</f>
        <v>1.3853074602314814</v>
      </c>
    </row>
    <row r="73" spans="2:19" ht="15.5" x14ac:dyDescent="0.35">
      <c r="B73" s="270">
        <f>SUM(B72*2)</f>
        <v>0.1</v>
      </c>
      <c r="C73" s="176">
        <f>Summary!$E$39-(Summary!$E$29-ROUND((-PMT('Fixed Cost Input'!$D$13,'Fixed Cost Input'!$E$13,'Fixed Cost Input'!$E$6*('Fixed Cost Input'!$E$9-B73),0)+('Fixed Cost Input'!$E$6*('Fixed Cost Input'!$E$8+Risk!$E$11)*'Fixed Cost Input'!$E$10))/Input!$E$9/Input!$E$15,2))</f>
        <v>1.2294100000000003</v>
      </c>
      <c r="D73" s="176">
        <f>Summary!$I$39-(Summary!$I$29-ROUND((-PMT('Fixed Cost Input'!$H$13,'Fixed Cost Input'!$I$13,'Fixed Cost Input'!$I$6*('Fixed Cost Input'!$I$9-B73),0)+('Fixed Cost Input'!$I$6*('Fixed Cost Input'!$I$8+Risk!$I$11)*'Fixed Cost Input'!$I$10))/Input!$H$9/Input!$H$15,2))</f>
        <v>1.1153074602314814</v>
      </c>
      <c r="Q73" s="275">
        <f>SUM(Q72*2)</f>
        <v>0.01</v>
      </c>
      <c r="R73" s="176">
        <f>Summary!$E$39-(Summary!$E$29-ROUND((-PMT('Fixed Cost Input'!$D$13+Q73,'Fixed Cost Input'!$E$13,('Fixed Cost Input'!$E$6)*'Fixed Cost Input'!$E$9,0)+(('Fixed Cost Input'!$E$6)*'Fixed Cost Input'!$E$8*'Fixed Cost Input'!$E$10))/Input!$E$9/Input!$E$15,2))</f>
        <v>1.4594100000000003</v>
      </c>
      <c r="S73" s="176">
        <f>Summary!$I$39-(Summary!$I$29-ROUND((-PMT('Fixed Cost Input'!$H$13+Q73,'Fixed Cost Input'!$I$13,('Fixed Cost Input'!$I$6)*'Fixed Cost Input'!$I$9,0)+(('Fixed Cost Input'!$I$6)*'Fixed Cost Input'!$I$8*'Fixed Cost Input'!$I$10))/Input!$H$9/Input!$H$15,2))</f>
        <v>1.4153074602314815</v>
      </c>
    </row>
    <row r="74" spans="2:19" ht="15.5" x14ac:dyDescent="0.35">
      <c r="B74" s="270">
        <f>SUM(B72*3)</f>
        <v>0.15000000000000002</v>
      </c>
      <c r="C74" s="176">
        <f>Summary!$E$39-(Summary!$E$29-ROUND((-PMT('Fixed Cost Input'!$D$13,'Fixed Cost Input'!$E$13,'Fixed Cost Input'!$E$6*('Fixed Cost Input'!$E$9-B74),0)+('Fixed Cost Input'!$E$6*('Fixed Cost Input'!$E$8+Risk!$E$11)*'Fixed Cost Input'!$E$10))/Input!$E$9/Input!$E$15,2))</f>
        <v>1.1294100000000002</v>
      </c>
      <c r="D74" s="176">
        <f>Summary!$I$39-(Summary!$I$29-ROUND((-PMT('Fixed Cost Input'!$H$13,'Fixed Cost Input'!$I$13,'Fixed Cost Input'!$I$6*('Fixed Cost Input'!$I$9-B74),0)+('Fixed Cost Input'!$I$6*('Fixed Cost Input'!$I$8+Risk!$I$11)*'Fixed Cost Input'!$I$10))/Input!$H$9/Input!$H$15,2))</f>
        <v>0.98530746023148141</v>
      </c>
      <c r="Q74" s="275">
        <f>SUM(Q72*3)</f>
        <v>1.4999999999999999E-2</v>
      </c>
      <c r="R74" s="176">
        <f>Summary!$E$39-(Summary!$E$29-ROUND((-PMT('Fixed Cost Input'!$D$13+Q74,'Fixed Cost Input'!$E$13,('Fixed Cost Input'!$E$6)*'Fixed Cost Input'!$E$9,0)+(('Fixed Cost Input'!$E$6)*'Fixed Cost Input'!$E$8*'Fixed Cost Input'!$E$10))/Input!$E$9/Input!$E$15,2))</f>
        <v>1.4794100000000003</v>
      </c>
      <c r="S74" s="176">
        <f>Summary!$I$39-(Summary!$I$29-ROUND((-PMT('Fixed Cost Input'!$H$13+Q74,'Fixed Cost Input'!$I$13,('Fixed Cost Input'!$I$6)*'Fixed Cost Input'!$I$9,0)+(('Fixed Cost Input'!$I$6)*'Fixed Cost Input'!$I$8*'Fixed Cost Input'!$I$10))/Input!$H$9/Input!$H$15,2))</f>
        <v>1.4453074602314815</v>
      </c>
    </row>
    <row r="78" spans="2:19" x14ac:dyDescent="0.25">
      <c r="C78" s="263" t="s">
        <v>363</v>
      </c>
    </row>
    <row r="84" spans="2:10" ht="15.5" x14ac:dyDescent="0.35">
      <c r="B84" s="144" t="str">
        <f>"Impact of Pasture Equity on Total Pasture Cost Per Day (@"&amp;'Fixed Cost Input'!D13*100&amp;"% for "&amp;'Fixed Cost Input'!E13&amp;" yrs) "</f>
        <v xml:space="preserve">Impact of Pasture Equity on Total Pasture Cost Per Day (@6% for 25 yrs) </v>
      </c>
    </row>
    <row r="85" spans="2:10" ht="15.5" x14ac:dyDescent="0.35">
      <c r="B85" s="144" t="str">
        <f>"Impact of Pasture Equity on Total Pasture Cost Per Season (@"&amp;'Fixed Cost Input'!D13*100&amp;"% for "&amp;'Fixed Cost Input'!E13&amp;" yrs) "</f>
        <v xml:space="preserve">Impact of Pasture Equity on Total Pasture Cost Per Season (@6% for 25 yrs) </v>
      </c>
      <c r="C85" s="144"/>
      <c r="D85" s="144"/>
    </row>
    <row r="86" spans="2:10" ht="15.5" x14ac:dyDescent="0.35">
      <c r="B86" s="144" t="str">
        <f>"Impact of Pasture Equity on Total Pasture Cost Per Acre (@"&amp;'Fixed Cost Input'!D13*100&amp;"% for "&amp;'Fixed Cost Input'!E13&amp;" yrs) "</f>
        <v xml:space="preserve">Impact of Pasture Equity on Total Pasture Cost Per Acre (@6% for 25 yrs) </v>
      </c>
      <c r="C86" s="144"/>
      <c r="D86" s="144"/>
    </row>
    <row r="87" spans="2:10" ht="108.5" x14ac:dyDescent="0.35">
      <c r="B87" s="175" t="s">
        <v>270</v>
      </c>
      <c r="C87" s="183" t="str">
        <f>"Improved Pasture ("&amp;TEXT('Fixed Cost Input'!E6,"$#,###")&amp;"/ac, "&amp;Input!E8&amp;" hd,"&amp;Input!E15&amp;" days)"</f>
        <v>Improved Pasture ($1,875/ac, 94 hd,135 days)</v>
      </c>
      <c r="D87" s="183" t="str">
        <f>"Marginal Pasture  ("&amp;TEXT('Fixed Cost Input'!I6,"$#,###")&amp;"/ac, "&amp;Input!H8&amp;" hd,"&amp;Input!H15&amp;" days)"</f>
        <v>Marginal Pasture  ($844/ac, 32 hd,135 days)</v>
      </c>
      <c r="F87" s="128" t="str">
        <f>"Improved Pasture ("&amp;TEXT('Fixed Cost Input'!E6,"$#,###")&amp;"/ac, "&amp;Input!E8&amp;" hd,"&amp;Input!E15&amp;" days)"</f>
        <v>Improved Pasture ($1,875/ac, 94 hd,135 days)</v>
      </c>
      <c r="G87" s="128" t="str">
        <f>"Marginal Pasture  ("&amp;TEXT('Fixed Cost Input'!I6,"$#,###")&amp;"/ac, "&amp;Input!H8&amp;" hd,"&amp;Input!H15&amp;" days)"</f>
        <v>Marginal Pasture  ($844/ac, 32 hd,135 days)</v>
      </c>
      <c r="I87" s="128" t="str">
        <f>"Improved Pasture ("&amp;TEXT('Fixed Cost Input'!E6,"$#,###")&amp;"/ac, "&amp;Input!E8&amp;" hd,"&amp;Input!E15&amp;" days)"</f>
        <v>Improved Pasture ($1,875/ac, 94 hd,135 days)</v>
      </c>
      <c r="J87" s="128" t="str">
        <f>"Marginal Pasture  ("&amp;TEXT('Fixed Cost Input'!I6,"$#,###")&amp;"/ac, "&amp;Input!H8&amp;" hd,"&amp;Input!H15&amp;" days)"</f>
        <v>Marginal Pasture  ($844/ac, 32 hd,135 days)</v>
      </c>
    </row>
    <row r="88" spans="2:10" ht="15.5" x14ac:dyDescent="0.35">
      <c r="B88" s="184">
        <v>0</v>
      </c>
      <c r="C88" s="176">
        <f>Summary!$E$39-(Summary!$E$29-ROUND((-PMT('Fixed Cost Input'!$D$13,'Fixed Cost Input'!$E$13,'Fixed Cost Input'!$E$6*(1-B88),0)+('Fixed Cost Input'!$E$6*('Fixed Cost Input'!$E$8+Risk!$E$11)*'Fixed Cost Input'!$E$10))/Input!$E$9/Input!$E$15,2))</f>
        <v>2.7894100000000002</v>
      </c>
      <c r="D88" s="176">
        <f>Summary!$I$39-(Summary!$I$29-ROUND((-PMT('Fixed Cost Input'!$H$13,'Fixed Cost Input'!$I$13,'Fixed Cost Input'!$I$6*(1-B88),0)+('Fixed Cost Input'!$I$6*('Fixed Cost Input'!$I$8+Risk!$I$11)*'Fixed Cost Input'!$I$10))/Input!$H$9/Input!$H$15,2))</f>
        <v>3.1853074602314813</v>
      </c>
      <c r="F88" s="185">
        <f>SUM(C88*Input!$E$15)</f>
        <v>376.57035000000002</v>
      </c>
      <c r="G88" s="185">
        <f>SUM(D88*Input!$H$15)</f>
        <v>430.01650713124997</v>
      </c>
      <c r="I88" s="185">
        <f>SUM(F88*Input!$E$9)</f>
        <v>222.17650649999999</v>
      </c>
      <c r="J88" s="185">
        <f>SUM(G88*Input!$H$9)</f>
        <v>86.003301426250005</v>
      </c>
    </row>
    <row r="89" spans="2:10" ht="15.5" x14ac:dyDescent="0.35">
      <c r="B89" s="184">
        <v>0.1</v>
      </c>
      <c r="C89" s="176">
        <f>Summary!$E$39-(Summary!$E$29-ROUND((-PMT('Fixed Cost Input'!$D$13,'Fixed Cost Input'!$E$13,'Fixed Cost Input'!$E$6*(1-B89),0)+('Fixed Cost Input'!$E$6*('Fixed Cost Input'!$E$8+Risk!$E$11)*'Fixed Cost Input'!$E$10))/Input!$E$9/Input!$E$15,2))</f>
        <v>2.6094100000000005</v>
      </c>
      <c r="D89" s="176">
        <f>Summary!$I$39-(Summary!$I$29-ROUND((-PMT('Fixed Cost Input'!$H$13,'Fixed Cost Input'!$I$13,'Fixed Cost Input'!$I$6*(1-B89),0)+('Fixed Cost Input'!$I$6*('Fixed Cost Input'!$I$8+Risk!$I$11)*'Fixed Cost Input'!$I$10))/Input!$H$9/Input!$H$15,2))</f>
        <v>2.9453074602314819</v>
      </c>
      <c r="F89" s="185">
        <f>SUM(C89*Input!$E$15)</f>
        <v>352.27035000000006</v>
      </c>
      <c r="G89" s="185">
        <f>SUM(D89*Input!$H$15)</f>
        <v>397.61650713125005</v>
      </c>
      <c r="I89" s="185">
        <f>SUM(F89*Input!$E$9)</f>
        <v>207.83950650000003</v>
      </c>
      <c r="J89" s="185">
        <f>SUM(G89*Input!$H$9)</f>
        <v>79.523301426250015</v>
      </c>
    </row>
    <row r="90" spans="2:10" ht="15.5" x14ac:dyDescent="0.35">
      <c r="B90" s="184">
        <v>0.2</v>
      </c>
      <c r="C90" s="176">
        <f>Summary!$E$39-(Summary!$E$29-ROUND((-PMT('Fixed Cost Input'!$D$13,'Fixed Cost Input'!$E$13,'Fixed Cost Input'!$E$6*(1-B90),0)+('Fixed Cost Input'!$E$6*('Fixed Cost Input'!$E$8+Risk!$E$11)*'Fixed Cost Input'!$E$10))/Input!$E$9/Input!$E$15,2))</f>
        <v>2.4194100000000001</v>
      </c>
      <c r="D90" s="176">
        <f>Summary!$I$39-(Summary!$I$29-ROUND((-PMT('Fixed Cost Input'!$H$13,'Fixed Cost Input'!$I$13,'Fixed Cost Input'!$I$6*(1-B90),0)+('Fixed Cost Input'!$I$6*('Fixed Cost Input'!$I$8+Risk!$I$11)*'Fixed Cost Input'!$I$10))/Input!$H$9/Input!$H$15,2))</f>
        <v>2.7053074602314817</v>
      </c>
      <c r="F90" s="185">
        <f>SUM(C90*Input!$E$15)</f>
        <v>326.62035000000003</v>
      </c>
      <c r="G90" s="185">
        <f>SUM(D90*Input!$H$15)</f>
        <v>365.21650713125001</v>
      </c>
      <c r="I90" s="185">
        <f>SUM(F90*Input!$E$9)</f>
        <v>192.7060065</v>
      </c>
      <c r="J90" s="185">
        <f>SUM(G90*Input!$H$9)</f>
        <v>73.043301426250011</v>
      </c>
    </row>
    <row r="91" spans="2:10" ht="15.5" x14ac:dyDescent="0.35">
      <c r="B91" s="184">
        <v>0.3</v>
      </c>
      <c r="C91" s="176">
        <f>Summary!$E$39-(Summary!$E$29-ROUND((-PMT('Fixed Cost Input'!$D$13,'Fixed Cost Input'!$E$13,'Fixed Cost Input'!$E$6*(1-B91),0)+('Fixed Cost Input'!$E$6*('Fixed Cost Input'!$E$8+Risk!$E$11)*'Fixed Cost Input'!$E$10))/Input!$E$9/Input!$E$15,2))</f>
        <v>2.2394100000000003</v>
      </c>
      <c r="D91" s="176">
        <f>Summary!$I$39-(Summary!$I$29-ROUND((-PMT('Fixed Cost Input'!$H$13,'Fixed Cost Input'!$I$13,'Fixed Cost Input'!$I$6*(1-B91),0)+('Fixed Cost Input'!$I$6*('Fixed Cost Input'!$I$8+Risk!$I$11)*'Fixed Cost Input'!$I$10))/Input!$H$9/Input!$H$15,2))</f>
        <v>2.4553074602314817</v>
      </c>
      <c r="F91" s="185">
        <f>SUM(C91*Input!$E$15)</f>
        <v>302.32035000000002</v>
      </c>
      <c r="G91" s="185">
        <f>SUM(D91*Input!$H$15)</f>
        <v>331.46650713125001</v>
      </c>
      <c r="I91" s="185">
        <f>SUM(F91*Input!$E$9)</f>
        <v>178.36900650000001</v>
      </c>
      <c r="J91" s="185">
        <f>SUM(G91*Input!$H$9)</f>
        <v>66.293301426250011</v>
      </c>
    </row>
    <row r="92" spans="2:10" ht="15.5" x14ac:dyDescent="0.35">
      <c r="B92" s="184">
        <v>0.4</v>
      </c>
      <c r="C92" s="176">
        <f>Summary!$E$39-(Summary!$E$29-ROUND((-PMT('Fixed Cost Input'!$D$13,'Fixed Cost Input'!$E$13,'Fixed Cost Input'!$E$6*(1-B92),0)+('Fixed Cost Input'!$E$6*('Fixed Cost Input'!$E$8+Risk!$E$11)*'Fixed Cost Input'!$E$10))/Input!$E$9/Input!$E$15,2))</f>
        <v>2.0494100000000004</v>
      </c>
      <c r="D92" s="176">
        <f>Summary!$I$39-(Summary!$I$29-ROUND((-PMT('Fixed Cost Input'!$H$13,'Fixed Cost Input'!$I$13,'Fixed Cost Input'!$I$6*(1-B92),0)+('Fixed Cost Input'!$I$6*('Fixed Cost Input'!$I$8+Risk!$I$11)*'Fixed Cost Input'!$I$10))/Input!$H$9/Input!$H$15,2))</f>
        <v>2.2153074602314815</v>
      </c>
      <c r="F92" s="185">
        <f>SUM(C92*Input!$E$15)</f>
        <v>276.67035000000004</v>
      </c>
      <c r="G92" s="185">
        <f>SUM(D92*Input!$H$15)</f>
        <v>299.06650713124998</v>
      </c>
      <c r="I92" s="185">
        <f>SUM(F92*Input!$E$9)</f>
        <v>163.23550650000001</v>
      </c>
      <c r="J92" s="185">
        <f>SUM(G92*Input!$H$9)</f>
        <v>59.81330142625</v>
      </c>
    </row>
    <row r="93" spans="2:10" ht="15.5" x14ac:dyDescent="0.35">
      <c r="B93" s="184">
        <v>0.5</v>
      </c>
      <c r="C93" s="176">
        <f>Summary!$E$39-(Summary!$E$29-ROUND((-PMT('Fixed Cost Input'!$D$13,'Fixed Cost Input'!$E$13,'Fixed Cost Input'!$E$6*(1-B93),0)+('Fixed Cost Input'!$E$6*('Fixed Cost Input'!$E$8+Risk!$E$11)*'Fixed Cost Input'!$E$10))/Input!$E$9/Input!$E$15,2))</f>
        <v>1.8694100000000002</v>
      </c>
      <c r="D93" s="176">
        <f>Summary!$I$39-(Summary!$I$29-ROUND((-PMT('Fixed Cost Input'!$H$13,'Fixed Cost Input'!$I$13,'Fixed Cost Input'!$I$6*(1-B93),0)+('Fixed Cost Input'!$I$6*('Fixed Cost Input'!$I$8+Risk!$I$11)*'Fixed Cost Input'!$I$10))/Input!$H$9/Input!$H$15,2))</f>
        <v>1.9653074602314815</v>
      </c>
      <c r="F93" s="185">
        <f>SUM(C93*Input!$E$15)</f>
        <v>252.37035000000003</v>
      </c>
      <c r="G93" s="185">
        <f>SUM(D93*Input!$H$15)</f>
        <v>265.31650713124998</v>
      </c>
      <c r="I93" s="185">
        <f>SUM(F93*Input!$E$9)</f>
        <v>148.8985065</v>
      </c>
      <c r="J93" s="185">
        <f>SUM(G93*Input!$H$9)</f>
        <v>53.06330142625</v>
      </c>
    </row>
    <row r="94" spans="2:10" ht="15.5" x14ac:dyDescent="0.35">
      <c r="B94" s="184">
        <v>0.6</v>
      </c>
      <c r="C94" s="176">
        <f>Summary!$E$39-(Summary!$E$29-ROUND((-PMT('Fixed Cost Input'!$D$13,'Fixed Cost Input'!$E$13,'Fixed Cost Input'!$E$6*(1-B94),0)+('Fixed Cost Input'!$E$6*('Fixed Cost Input'!$E$8+Risk!$E$11)*'Fixed Cost Input'!$E$10))/Input!$E$9/Input!$E$15,2))</f>
        <v>1.6894100000000003</v>
      </c>
      <c r="D94" s="176">
        <f>Summary!$I$39-(Summary!$I$29-ROUND((-PMT('Fixed Cost Input'!$H$13,'Fixed Cost Input'!$I$13,'Fixed Cost Input'!$I$6*(1-B94),0)+('Fixed Cost Input'!$I$6*('Fixed Cost Input'!$I$8+Risk!$I$11)*'Fixed Cost Input'!$I$10))/Input!$H$9/Input!$H$15,2))</f>
        <v>1.7253074602314813</v>
      </c>
      <c r="F94" s="185">
        <f>SUM(C94*Input!$E$15)</f>
        <v>228.07035000000005</v>
      </c>
      <c r="G94" s="185">
        <f>SUM(D94*Input!$H$15)</f>
        <v>232.91650713124997</v>
      </c>
      <c r="I94" s="185">
        <f>SUM(F94*Input!$E$9)</f>
        <v>134.56150650000001</v>
      </c>
      <c r="J94" s="185">
        <f>SUM(G94*Input!$H$9)</f>
        <v>46.583301426249996</v>
      </c>
    </row>
    <row r="95" spans="2:10" ht="15.5" x14ac:dyDescent="0.35">
      <c r="B95" s="180">
        <v>0.7</v>
      </c>
      <c r="C95" s="176">
        <f>Summary!$E$39-(Summary!$E$29-ROUND((-PMT('Fixed Cost Input'!$D$13,'Fixed Cost Input'!$E$13,'Fixed Cost Input'!$E$6*(1-B95),0)+('Fixed Cost Input'!$E$6*('Fixed Cost Input'!$E$8+Risk!$E$11)*'Fixed Cost Input'!$E$10))/Input!$E$9/Input!$E$15,2))</f>
        <v>1.4994100000000004</v>
      </c>
      <c r="D95" s="176">
        <f>Summary!$I$39-(Summary!$I$29-ROUND((-PMT('Fixed Cost Input'!$H$13,'Fixed Cost Input'!$I$13,'Fixed Cost Input'!$I$6*(1-B95),0)+('Fixed Cost Input'!$I$6*('Fixed Cost Input'!$I$8+Risk!$I$11)*'Fixed Cost Input'!$I$10))/Input!$H$9/Input!$H$15,2))</f>
        <v>1.4753074602314813</v>
      </c>
      <c r="F95" s="185">
        <f>SUM(C95*Input!$E$15)</f>
        <v>202.42035000000004</v>
      </c>
      <c r="G95" s="185">
        <f>SUM(D95*Input!$H$15)</f>
        <v>199.16650713124997</v>
      </c>
      <c r="I95" s="185">
        <f>SUM(F95*Input!$E$9)</f>
        <v>119.42800650000002</v>
      </c>
      <c r="J95" s="185">
        <f>SUM(G95*Input!$H$9)</f>
        <v>39.833301426249996</v>
      </c>
    </row>
    <row r="96" spans="2:10" ht="15.5" x14ac:dyDescent="0.35">
      <c r="B96" s="180">
        <v>0.8</v>
      </c>
      <c r="C96" s="176">
        <f>Summary!$E$39-(Summary!$E$29-ROUND((-PMT('Fixed Cost Input'!$D$13,'Fixed Cost Input'!$E$13,'Fixed Cost Input'!$E$6*(1-B96),0)+('Fixed Cost Input'!$E$6*('Fixed Cost Input'!$E$8+Risk!$E$11)*'Fixed Cost Input'!$E$10))/Input!$E$9/Input!$E$15,2))</f>
        <v>1.3194100000000002</v>
      </c>
      <c r="D96" s="176">
        <f>Summary!$I$39-(Summary!$I$29-ROUND((-PMT('Fixed Cost Input'!$H$13,'Fixed Cost Input'!$I$13,'Fixed Cost Input'!$I$6*(1-B96),0)+('Fixed Cost Input'!$I$6*('Fixed Cost Input'!$I$8+Risk!$I$11)*'Fixed Cost Input'!$I$10))/Input!$H$9/Input!$H$15,2))</f>
        <v>1.2353074602314815</v>
      </c>
      <c r="F96" s="185">
        <f>SUM(C96*Input!$E$15)</f>
        <v>178.12035000000003</v>
      </c>
      <c r="G96" s="185">
        <f>SUM(D96*Input!$H$15)</f>
        <v>166.76650713124999</v>
      </c>
      <c r="I96" s="185">
        <f>SUM(F96*Input!$E$9)</f>
        <v>105.09100650000001</v>
      </c>
      <c r="J96" s="185">
        <f>SUM(G96*Input!$H$9)</f>
        <v>33.353301426249999</v>
      </c>
    </row>
    <row r="97" spans="1:10" ht="15.5" x14ac:dyDescent="0.35">
      <c r="B97" s="180">
        <v>0.9</v>
      </c>
      <c r="C97" s="176">
        <f>Summary!$E$39-(Summary!$E$29-ROUND((-PMT('Fixed Cost Input'!$D$13,'Fixed Cost Input'!$E$13,'Fixed Cost Input'!$E$6*(1-B97),0)+('Fixed Cost Input'!$E$6*('Fixed Cost Input'!$E$8+Risk!$E$11)*'Fixed Cost Input'!$E$10))/Input!$E$9/Input!$E$15,2))</f>
        <v>1.1294100000000002</v>
      </c>
      <c r="D97" s="176">
        <f>Summary!$I$39-(Summary!$I$29-ROUND((-PMT('Fixed Cost Input'!$H$13,'Fixed Cost Input'!$I$13,'Fixed Cost Input'!$I$6*(1-B97),0)+('Fixed Cost Input'!$I$6*('Fixed Cost Input'!$I$8+Risk!$I$11)*'Fixed Cost Input'!$I$10))/Input!$H$9/Input!$H$15,2))</f>
        <v>0.98530746023148141</v>
      </c>
      <c r="F97" s="185">
        <f>SUM(C97*Input!$E$15)</f>
        <v>152.47035000000002</v>
      </c>
      <c r="G97" s="185">
        <f>SUM(D97*Input!$H$15)</f>
        <v>133.01650713124999</v>
      </c>
      <c r="I97" s="185">
        <f>SUM(F97*Input!$E$9)</f>
        <v>89.957506500000008</v>
      </c>
      <c r="J97" s="185">
        <f>SUM(G97*Input!$H$9)</f>
        <v>26.603301426249999</v>
      </c>
    </row>
    <row r="98" spans="1:10" ht="15.5" x14ac:dyDescent="0.35">
      <c r="B98" s="180">
        <v>1</v>
      </c>
      <c r="C98" s="176">
        <f>Summary!$E$39-(Summary!$E$29-ROUND((-PMT('Fixed Cost Input'!$D$13,'Fixed Cost Input'!$E$13,'Fixed Cost Input'!$E$6*(1-B98),0)+('Fixed Cost Input'!$E$6*('Fixed Cost Input'!$E$8+Risk!$E$11)*'Fixed Cost Input'!$E$10))/Input!$E$9/Input!$E$15,2))</f>
        <v>0.94941000000000031</v>
      </c>
      <c r="D98" s="176">
        <f>Summary!$I$39-(Summary!$I$29-ROUND((-PMT('Fixed Cost Input'!$H$13,'Fixed Cost Input'!$I$13,'Fixed Cost Input'!$I$6*(1-B98),0)+('Fixed Cost Input'!$I$6*('Fixed Cost Input'!$I$8+Risk!$I$11)*'Fixed Cost Input'!$I$10))/Input!$H$9/Input!$H$15,2))</f>
        <v>0.74530746023148142</v>
      </c>
      <c r="F98" s="185">
        <f>SUM(C98*Input!$E$15)</f>
        <v>128.17035000000004</v>
      </c>
      <c r="G98" s="185">
        <f>SUM(D98*Input!$H$15)</f>
        <v>100.61650713124999</v>
      </c>
      <c r="I98" s="185">
        <f>SUM(F98*Input!$E$9)</f>
        <v>75.620506500000019</v>
      </c>
      <c r="J98" s="185">
        <f>SUM(G98*Input!$H$9)</f>
        <v>20.123301426249999</v>
      </c>
    </row>
    <row r="99" spans="1:10" ht="15.5" x14ac:dyDescent="0.35">
      <c r="B99" s="180"/>
      <c r="C99" s="176"/>
      <c r="D99" s="176"/>
    </row>
    <row r="107" spans="1:10" ht="15.5" x14ac:dyDescent="0.35">
      <c r="B107" s="182" t="str">
        <f>"Impact of Pasture Equity on Payment Per Acre (@"&amp;'Fixed Cost Input'!D13*100&amp;"% for "&amp;'Fixed Cost Input'!E13&amp;" yrs) "</f>
        <v xml:space="preserve">Impact of Pasture Equity on Payment Per Acre (@6% for 25 yrs) </v>
      </c>
    </row>
    <row r="108" spans="1:10" ht="15.5" x14ac:dyDescent="0.35">
      <c r="A108" s="181"/>
      <c r="B108" s="182" t="str">
        <f>"Impact of Pasture Equity on Payment Per Quarter (@"&amp;'Fixed Cost Input'!D13*100&amp;"% for "&amp;'Fixed Cost Input'!E13&amp;" yrs) "</f>
        <v xml:space="preserve">Impact of Pasture Equity on Payment Per Quarter (@6% for 25 yrs) </v>
      </c>
      <c r="C108" s="182"/>
      <c r="D108" s="182"/>
      <c r="E108" s="181"/>
      <c r="F108" s="181"/>
      <c r="G108" s="181"/>
      <c r="H108" s="181"/>
      <c r="I108" s="181"/>
      <c r="J108" s="181"/>
    </row>
    <row r="109" spans="1:10" ht="15.5" x14ac:dyDescent="0.35">
      <c r="A109" s="181"/>
      <c r="B109" s="182" t="str">
        <f>"Impact of Pasture Equity on Payment Per Cow (@"&amp;'Fixed Cost Input'!D13*100&amp;"% for "&amp;'Fixed Cost Input'!E13&amp;" yrs) "</f>
        <v xml:space="preserve">Impact of Pasture Equity on Payment Per Cow (@6% for 25 yrs) </v>
      </c>
      <c r="C109" s="144"/>
      <c r="D109" s="144"/>
    </row>
    <row r="110" spans="1:10" ht="77.5" x14ac:dyDescent="0.35">
      <c r="A110" s="181"/>
      <c r="B110" s="175" t="s">
        <v>270</v>
      </c>
      <c r="C110" s="183" t="str">
        <f>"Improved Pasture ("&amp;TEXT('Fixed Cost Input'!E6,"$#,###")&amp;"/ac)"</f>
        <v>Improved Pasture ($1,875/ac)</v>
      </c>
      <c r="D110" s="183" t="str">
        <f>"Marginal Pasture  ("&amp;TEXT('Fixed Cost Input'!I6,"$#,###")&amp;"/ac)"</f>
        <v>Marginal Pasture  ($844/ac)</v>
      </c>
      <c r="F110" s="128" t="str">
        <f>"Improved Pasture ("&amp;TEXT('Fixed Cost Input'!E6,"$#,###")&amp;"/ac)"</f>
        <v>Improved Pasture ($1,875/ac)</v>
      </c>
      <c r="G110" s="128" t="str">
        <f>"Marginal Pasture  ("&amp;TEXT('Fixed Cost Input'!I6,"$#,###")&amp;"/ac)"</f>
        <v>Marginal Pasture  ($844/ac)</v>
      </c>
      <c r="I110" s="128" t="str">
        <f>"Improved Pasture ("&amp;TEXT('Fixed Cost Input'!E6,"$#,###")&amp;"/ac)"</f>
        <v>Improved Pasture ($1,875/ac)</v>
      </c>
      <c r="J110" s="128" t="str">
        <f>"Marginal Pasture  ("&amp;TEXT('Fixed Cost Input'!I6,"$#,###")&amp;"/ac)"</f>
        <v>Marginal Pasture  ($844/ac)</v>
      </c>
    </row>
    <row r="111" spans="1:10" ht="15.5" x14ac:dyDescent="0.35">
      <c r="A111" s="181"/>
      <c r="B111" s="184">
        <v>0</v>
      </c>
      <c r="C111" s="186">
        <f>-PMT('Fixed Cost Input'!$D$13,'Fixed Cost Input'!$E$13,'Fixed Cost Input'!$E$6*(1-B111),0)</f>
        <v>146.67509664801372</v>
      </c>
      <c r="D111" s="186">
        <f>-PMT('Fixed Cost Input'!$H$13,'Fixed Cost Input'!$I$13,'Fixed Cost Input'!$I$6*(1-B111),0)</f>
        <v>66.003793491606174</v>
      </c>
      <c r="F111" s="185">
        <f>SUM(C111*160)</f>
        <v>23468.015463682197</v>
      </c>
      <c r="G111" s="185">
        <f>SUM(D111*160)</f>
        <v>10560.606958656988</v>
      </c>
      <c r="I111" s="185">
        <f>C111/Input!$E$9</f>
        <v>248.60185872544699</v>
      </c>
      <c r="J111" s="185">
        <f>D111/Input!$H$9</f>
        <v>330.01896745803083</v>
      </c>
    </row>
    <row r="112" spans="1:10" ht="15.5" x14ac:dyDescent="0.35">
      <c r="A112" s="181"/>
      <c r="B112" s="184">
        <v>0.1</v>
      </c>
      <c r="C112" s="186">
        <f>-PMT('Fixed Cost Input'!$D$13,'Fixed Cost Input'!$E$13,'Fixed Cost Input'!$E$6*(1-B112),0)</f>
        <v>132.00758698321235</v>
      </c>
      <c r="D112" s="186">
        <f>-PMT('Fixed Cost Input'!$H$13,'Fixed Cost Input'!$I$13,'Fixed Cost Input'!$I$6*(1-B112),0)</f>
        <v>59.403414142445556</v>
      </c>
      <c r="F112" s="185">
        <f t="shared" ref="F112:F121" si="0">SUM(C112*160)</f>
        <v>21121.213917313977</v>
      </c>
      <c r="G112" s="185">
        <f t="shared" ref="G112:G121" si="1">SUM(D112*160)</f>
        <v>9504.5462627912893</v>
      </c>
      <c r="I112" s="185">
        <f>C112/Input!$E$9</f>
        <v>223.7416728529023</v>
      </c>
      <c r="J112" s="185">
        <f>D112/Input!$H$9</f>
        <v>297.01707071222773</v>
      </c>
    </row>
    <row r="113" spans="1:10" ht="15.5" x14ac:dyDescent="0.35">
      <c r="A113" s="181"/>
      <c r="B113" s="184">
        <v>0.2</v>
      </c>
      <c r="C113" s="186">
        <f>-PMT('Fixed Cost Input'!$D$13,'Fixed Cost Input'!$E$13,'Fixed Cost Input'!$E$6*(1-B113),0)</f>
        <v>117.34007731841096</v>
      </c>
      <c r="D113" s="186">
        <f>-PMT('Fixed Cost Input'!$H$13,'Fixed Cost Input'!$I$13,'Fixed Cost Input'!$I$6*(1-B113),0)</f>
        <v>52.803034793284937</v>
      </c>
      <c r="F113" s="185">
        <f t="shared" si="0"/>
        <v>18774.412370945753</v>
      </c>
      <c r="G113" s="185">
        <f t="shared" si="1"/>
        <v>8448.4855669255903</v>
      </c>
      <c r="I113" s="185">
        <f>C113/Input!$E$9</f>
        <v>198.88148698035758</v>
      </c>
      <c r="J113" s="185">
        <f>D113/Input!$H$9</f>
        <v>264.01517396642464</v>
      </c>
    </row>
    <row r="114" spans="1:10" ht="15.5" x14ac:dyDescent="0.35">
      <c r="A114" s="181"/>
      <c r="B114" s="184">
        <v>0.3</v>
      </c>
      <c r="C114" s="186">
        <f>-PMT('Fixed Cost Input'!$D$13,'Fixed Cost Input'!$E$13,'Fixed Cost Input'!$E$6*(1-B114),0)</f>
        <v>102.67256765360959</v>
      </c>
      <c r="D114" s="186">
        <f>-PMT('Fixed Cost Input'!$H$13,'Fixed Cost Input'!$I$13,'Fixed Cost Input'!$I$6*(1-B114),0)</f>
        <v>46.202655444124318</v>
      </c>
      <c r="F114" s="185">
        <f t="shared" si="0"/>
        <v>16427.610824577536</v>
      </c>
      <c r="G114" s="185">
        <f t="shared" si="1"/>
        <v>7392.4248710598913</v>
      </c>
      <c r="I114" s="185">
        <f>C114/Input!$E$9</f>
        <v>174.02130110781286</v>
      </c>
      <c r="J114" s="185">
        <f>D114/Input!$H$9</f>
        <v>231.01327722062157</v>
      </c>
    </row>
    <row r="115" spans="1:10" ht="15.5" x14ac:dyDescent="0.35">
      <c r="A115" s="181"/>
      <c r="B115" s="184">
        <v>0.4</v>
      </c>
      <c r="C115" s="186">
        <f>-PMT('Fixed Cost Input'!$D$13,'Fixed Cost Input'!$E$13,'Fixed Cost Input'!$E$6*(1-B115),0)</f>
        <v>88.005057988808232</v>
      </c>
      <c r="D115" s="186">
        <f>-PMT('Fixed Cost Input'!$H$13,'Fixed Cost Input'!$I$13,'Fixed Cost Input'!$I$6*(1-B115),0)</f>
        <v>39.602276094963706</v>
      </c>
      <c r="F115" s="185">
        <f t="shared" si="0"/>
        <v>14080.809278209317</v>
      </c>
      <c r="G115" s="185">
        <f t="shared" si="1"/>
        <v>6336.3641751941932</v>
      </c>
      <c r="I115" s="185">
        <f>C115/Input!$E$9</f>
        <v>149.1611152352682</v>
      </c>
      <c r="J115" s="185">
        <f>D115/Input!$H$9</f>
        <v>198.01138047481851</v>
      </c>
    </row>
    <row r="116" spans="1:10" ht="15.5" x14ac:dyDescent="0.35">
      <c r="A116" s="181"/>
      <c r="B116" s="184">
        <v>0.5</v>
      </c>
      <c r="C116" s="186">
        <f>-PMT('Fixed Cost Input'!$D$13,'Fixed Cost Input'!$E$13,'Fixed Cost Input'!$E$6*(1-B116),0)</f>
        <v>73.33754832400686</v>
      </c>
      <c r="D116" s="186">
        <f>-PMT('Fixed Cost Input'!$H$13,'Fixed Cost Input'!$I$13,'Fixed Cost Input'!$I$6*(1-B116),0)</f>
        <v>33.001896745803087</v>
      </c>
      <c r="F116" s="185">
        <f t="shared" si="0"/>
        <v>11734.007731841099</v>
      </c>
      <c r="G116" s="185">
        <f t="shared" si="1"/>
        <v>5280.3034793284942</v>
      </c>
      <c r="I116" s="185">
        <f>C116/Input!$E$9</f>
        <v>124.30092936272349</v>
      </c>
      <c r="J116" s="185">
        <f>D116/Input!$H$9</f>
        <v>165.00948372901541</v>
      </c>
    </row>
    <row r="117" spans="1:10" ht="15.5" x14ac:dyDescent="0.35">
      <c r="A117" s="181"/>
      <c r="B117" s="184">
        <v>0.6</v>
      </c>
      <c r="C117" s="186">
        <f>-PMT('Fixed Cost Input'!$D$13,'Fixed Cost Input'!$E$13,'Fixed Cost Input'!$E$6*(1-B117),0)</f>
        <v>58.670038659205481</v>
      </c>
      <c r="D117" s="186">
        <f>-PMT('Fixed Cost Input'!$H$13,'Fixed Cost Input'!$I$13,'Fixed Cost Input'!$I$6*(1-B117),0)</f>
        <v>26.401517396642468</v>
      </c>
      <c r="F117" s="185">
        <f t="shared" si="0"/>
        <v>9387.2061854728763</v>
      </c>
      <c r="G117" s="185">
        <f t="shared" si="1"/>
        <v>4224.2427834627952</v>
      </c>
      <c r="I117" s="185">
        <f>C117/Input!$E$9</f>
        <v>99.440743490178789</v>
      </c>
      <c r="J117" s="185">
        <f>D117/Input!$H$9</f>
        <v>132.00758698321232</v>
      </c>
    </row>
    <row r="118" spans="1:10" ht="15.5" x14ac:dyDescent="0.35">
      <c r="A118" s="181"/>
      <c r="B118" s="180">
        <v>0.7</v>
      </c>
      <c r="C118" s="186">
        <f>-PMT('Fixed Cost Input'!$D$13,'Fixed Cost Input'!$E$13,'Fixed Cost Input'!$E$6*(1-B118),0)</f>
        <v>44.002528994404123</v>
      </c>
      <c r="D118" s="186">
        <f>-PMT('Fixed Cost Input'!$H$13,'Fixed Cost Input'!$I$13,'Fixed Cost Input'!$I$6*(1-B118),0)</f>
        <v>19.801138047481853</v>
      </c>
      <c r="F118" s="185">
        <f t="shared" si="0"/>
        <v>7040.4046391046595</v>
      </c>
      <c r="G118" s="185">
        <f t="shared" si="1"/>
        <v>3168.1820875970966</v>
      </c>
      <c r="I118" s="185">
        <f>C118/Input!$E$9</f>
        <v>74.580557617634113</v>
      </c>
      <c r="J118" s="185">
        <f>D118/Input!$H$9</f>
        <v>99.005690237409254</v>
      </c>
    </row>
    <row r="119" spans="1:10" ht="15.5" x14ac:dyDescent="0.35">
      <c r="A119" s="181"/>
      <c r="B119" s="180">
        <v>0.8</v>
      </c>
      <c r="C119" s="186">
        <f>-PMT('Fixed Cost Input'!$D$13,'Fixed Cost Input'!$E$13,'Fixed Cost Input'!$E$6*(1-B119),0)</f>
        <v>29.335019329602737</v>
      </c>
      <c r="D119" s="186">
        <f>-PMT('Fixed Cost Input'!$H$13,'Fixed Cost Input'!$I$13,'Fixed Cost Input'!$I$6*(1-B119),0)</f>
        <v>13.200758698321232</v>
      </c>
      <c r="F119" s="185">
        <f t="shared" si="0"/>
        <v>4693.6030927364382</v>
      </c>
      <c r="G119" s="185">
        <f t="shared" si="1"/>
        <v>2112.1213917313971</v>
      </c>
      <c r="I119" s="185">
        <f>C119/Input!$E$9</f>
        <v>49.720371745089388</v>
      </c>
      <c r="J119" s="185">
        <f>D119/Input!$H$9</f>
        <v>66.00379349160616</v>
      </c>
    </row>
    <row r="120" spans="1:10" ht="15.5" x14ac:dyDescent="0.35">
      <c r="A120" s="181"/>
      <c r="B120" s="180">
        <v>0.9</v>
      </c>
      <c r="C120" s="186">
        <f>-PMT('Fixed Cost Input'!$D$13,'Fixed Cost Input'!$E$13,'Fixed Cost Input'!$E$6*(1-B120),0)</f>
        <v>14.667509664801369</v>
      </c>
      <c r="D120" s="186">
        <f>-PMT('Fixed Cost Input'!$H$13,'Fixed Cost Input'!$I$13,'Fixed Cost Input'!$I$6*(1-B120),0)</f>
        <v>6.6003793491606162</v>
      </c>
      <c r="F120" s="185">
        <f t="shared" si="0"/>
        <v>2346.8015463682191</v>
      </c>
      <c r="G120" s="185">
        <f t="shared" si="1"/>
        <v>1056.0606958656986</v>
      </c>
      <c r="I120" s="185">
        <f>C120/Input!$E$9</f>
        <v>24.860185872544694</v>
      </c>
      <c r="J120" s="185">
        <f>D120/Input!$H$9</f>
        <v>33.00189674580308</v>
      </c>
    </row>
    <row r="121" spans="1:10" ht="15.5" x14ac:dyDescent="0.35">
      <c r="A121" s="181"/>
      <c r="B121" s="180">
        <v>1</v>
      </c>
      <c r="C121" s="186">
        <f>-PMT('Fixed Cost Input'!$D$13,'Fixed Cost Input'!$E$13,'Fixed Cost Input'!$E$6*(1-B121),0)</f>
        <v>0</v>
      </c>
      <c r="D121" s="186">
        <f>-PMT('Fixed Cost Input'!$H$13,'Fixed Cost Input'!$I$13,'Fixed Cost Input'!$I$6*(1-B121),0)</f>
        <v>0</v>
      </c>
      <c r="F121" s="185">
        <f t="shared" si="0"/>
        <v>0</v>
      </c>
      <c r="G121" s="185">
        <f t="shared" si="1"/>
        <v>0</v>
      </c>
      <c r="I121" s="185">
        <f>C121/Input!$E$9</f>
        <v>0</v>
      </c>
      <c r="J121" s="185">
        <f>D121/Input!$H$9</f>
        <v>0</v>
      </c>
    </row>
    <row r="129" spans="2:8" ht="15.5" x14ac:dyDescent="0.35">
      <c r="B129" s="1" t="str">
        <f>"Premium = $"&amp;ROUND('Pasture Insurance'!C29,0)</f>
        <v>Premium = $622</v>
      </c>
      <c r="C129" s="256"/>
      <c r="D129" s="256"/>
      <c r="E129" s="256"/>
      <c r="F129" s="256"/>
      <c r="G129" s="257" t="str">
        <f>"Improved Pasture Indemnity = $"&amp;TEXT('Pasture Insurance'!C39,"#,###")&amp;" or $"&amp;ROUND('Pasture Insurance'!C41,0)&amp;"/hd    Unimproved Pasture Indemnity = $"&amp;TEXT('Pasture Insurance'!G39,"#,###")&amp;" or $"&amp;ROUND('Pasture Insurance'!G41,0)&amp;"/head"</f>
        <v>Improved Pasture Indemnity = $5,655 or $60/hd    Unimproved Pasture Indemnity = $1,947 or $61/head</v>
      </c>
      <c r="H129" s="256"/>
    </row>
    <row r="130" spans="2:8" ht="15.5" x14ac:dyDescent="0.35">
      <c r="B130" s="1" t="str">
        <f>"Premium = $"&amp;ROUND('Pasture Insurance'!G29,0)</f>
        <v>Premium = $214</v>
      </c>
      <c r="C130" s="256"/>
      <c r="D130" s="256"/>
      <c r="E130" s="256" t="s">
        <v>356</v>
      </c>
      <c r="F130" s="256" t="s">
        <v>357</v>
      </c>
      <c r="G130" s="256" t="str">
        <f>'Pasture Insurance'!E36&amp;" Actual Grazing Days "</f>
        <v xml:space="preserve">100 Actual Grazing Days </v>
      </c>
      <c r="H130" s="256"/>
    </row>
    <row r="131" spans="2:8" x14ac:dyDescent="0.25">
      <c r="B131" s="256">
        <v>1</v>
      </c>
      <c r="C131" s="256"/>
      <c r="D131" s="258">
        <f>'Pasture Insurance'!$D$64</f>
        <v>0</v>
      </c>
      <c r="E131" s="256"/>
      <c r="F131" s="256"/>
      <c r="G131" s="257">
        <f>'Pasture Insurance'!E36</f>
        <v>100</v>
      </c>
      <c r="H131" s="256"/>
    </row>
    <row r="132" spans="2:8" x14ac:dyDescent="0.25">
      <c r="B132" s="259">
        <v>2</v>
      </c>
      <c r="C132" s="256"/>
      <c r="D132" s="258">
        <f>'Pasture Insurance'!$D$64</f>
        <v>0</v>
      </c>
      <c r="E132" s="257">
        <f>ROUND('Pasture Insurance'!D4,0)</f>
        <v>134</v>
      </c>
      <c r="F132" s="257">
        <f>ROUND('Pasture Insurance'!D4*'Pasture Insurance'!D5,0)</f>
        <v>121</v>
      </c>
      <c r="G132" s="257">
        <f>'Pasture Insurance'!E36</f>
        <v>100</v>
      </c>
      <c r="H132" s="256"/>
    </row>
    <row r="133" spans="2:8" x14ac:dyDescent="0.25">
      <c r="B133" s="256">
        <v>3</v>
      </c>
      <c r="C133" s="256"/>
      <c r="D133" s="256"/>
      <c r="E133" s="256"/>
      <c r="F133" s="256"/>
      <c r="G133" s="257">
        <f>'Pasture Insurance'!E36</f>
        <v>100</v>
      </c>
      <c r="H133" s="256"/>
    </row>
    <row r="134" spans="2:8" x14ac:dyDescent="0.25">
      <c r="D134" s="60" t="s">
        <v>136</v>
      </c>
      <c r="E134" s="60" t="s">
        <v>137</v>
      </c>
    </row>
    <row r="135" spans="2:8" x14ac:dyDescent="0.25">
      <c r="C135" s="222">
        <f>ROUND('Pasture Insurance'!C21/'Pasture Insurance'!D17,0)</f>
        <v>121</v>
      </c>
      <c r="D135" s="253">
        <f>IF(('Pasture Insurance'!$C$21-(C135*'Pasture Insurance'!$D$17))*'Pasture Insurance'!$D$8&lt;0,0,('Pasture Insurance'!$C$21-(C135*'Pasture Insurance'!$D$17))*'Pasture Insurance'!$D$8)</f>
        <v>0</v>
      </c>
      <c r="E135" s="253">
        <f>IF(('Pasture Insurance'!$G$21-(C135*'Pasture Insurance'!$H$17))*'Pasture Insurance'!$D$8&lt;0,0,('Pasture Insurance'!$G$21-(C135*'Pasture Insurance'!$H$17))*'Pasture Insurance'!$D$8)</f>
        <v>0</v>
      </c>
    </row>
    <row r="136" spans="2:8" x14ac:dyDescent="0.25">
      <c r="C136" s="222">
        <f t="shared" ref="C136:C167" si="2">C135-1</f>
        <v>120</v>
      </c>
      <c r="D136" s="253">
        <f>IF(('Pasture Insurance'!$C$21-(C136*'Pasture Insurance'!$D$17))*'Pasture Insurance'!$D$8&lt;0,0,('Pasture Insurance'!$C$21-(C136*'Pasture Insurance'!$D$17))*'Pasture Insurance'!$D$8)</f>
        <v>164.70000000000164</v>
      </c>
      <c r="E136" s="253">
        <f>IF(('Pasture Insurance'!$G$21-(C136*'Pasture Insurance'!$H$17))*'Pasture Insurance'!$D$8&lt;0,0,('Pasture Insurance'!$G$21-(C136*'Pasture Insurance'!$H$17))*'Pasture Insurance'!$D$8)</f>
        <v>56.699999999999591</v>
      </c>
    </row>
    <row r="137" spans="2:8" x14ac:dyDescent="0.25">
      <c r="C137" s="222">
        <f t="shared" si="2"/>
        <v>119</v>
      </c>
      <c r="D137" s="253">
        <f>IF(('Pasture Insurance'!$C$21-(C137*'Pasture Insurance'!$D$17))*'Pasture Insurance'!$D$8&lt;0,0,('Pasture Insurance'!$C$21-(C137*'Pasture Insurance'!$D$17))*'Pasture Insurance'!$D$8)</f>
        <v>439.20000000000164</v>
      </c>
      <c r="E137" s="253">
        <f>IF(('Pasture Insurance'!$G$21-(C137*'Pasture Insurance'!$H$17))*'Pasture Insurance'!$D$8&lt;0,0,('Pasture Insurance'!$G$21-(C137*'Pasture Insurance'!$H$17))*'Pasture Insurance'!$D$8)</f>
        <v>151.19999999999959</v>
      </c>
    </row>
    <row r="138" spans="2:8" x14ac:dyDescent="0.25">
      <c r="C138" s="222">
        <f t="shared" si="2"/>
        <v>118</v>
      </c>
      <c r="D138" s="253">
        <f>IF(('Pasture Insurance'!$C$21-(C138*'Pasture Insurance'!$D$17))*'Pasture Insurance'!$D$8&lt;0,0,('Pasture Insurance'!$C$21-(C138*'Pasture Insurance'!$D$17))*'Pasture Insurance'!$D$8)</f>
        <v>713.70000000000164</v>
      </c>
      <c r="E138" s="253">
        <f>IF(('Pasture Insurance'!$G$21-(C138*'Pasture Insurance'!$H$17))*'Pasture Insurance'!$D$8&lt;0,0,('Pasture Insurance'!$G$21-(C138*'Pasture Insurance'!$H$17))*'Pasture Insurance'!$D$8)</f>
        <v>245.69999999999959</v>
      </c>
    </row>
    <row r="139" spans="2:8" x14ac:dyDescent="0.25">
      <c r="C139" s="222">
        <f t="shared" si="2"/>
        <v>117</v>
      </c>
      <c r="D139" s="253">
        <f>IF(('Pasture Insurance'!$C$21-(C139*'Pasture Insurance'!$D$17))*'Pasture Insurance'!$D$8&lt;0,0,('Pasture Insurance'!$C$21-(C139*'Pasture Insurance'!$D$17))*'Pasture Insurance'!$D$8)</f>
        <v>988.20000000000164</v>
      </c>
      <c r="E139" s="253">
        <f>IF(('Pasture Insurance'!$G$21-(C139*'Pasture Insurance'!$H$17))*'Pasture Insurance'!$D$8&lt;0,0,('Pasture Insurance'!$G$21-(C139*'Pasture Insurance'!$H$17))*'Pasture Insurance'!$D$8)</f>
        <v>340.19999999999959</v>
      </c>
    </row>
    <row r="140" spans="2:8" x14ac:dyDescent="0.25">
      <c r="C140" s="222">
        <f t="shared" si="2"/>
        <v>116</v>
      </c>
      <c r="D140" s="253">
        <f>IF(('Pasture Insurance'!$C$21-(C140*'Pasture Insurance'!$D$17))*'Pasture Insurance'!$D$8&lt;0,0,('Pasture Insurance'!$C$21-(C140*'Pasture Insurance'!$D$17))*'Pasture Insurance'!$D$8)</f>
        <v>1262.7000000000016</v>
      </c>
      <c r="E140" s="253">
        <f>IF(('Pasture Insurance'!$G$21-(C140*'Pasture Insurance'!$H$17))*'Pasture Insurance'!$D$8&lt;0,0,('Pasture Insurance'!$G$21-(C140*'Pasture Insurance'!$H$17))*'Pasture Insurance'!$D$8)</f>
        <v>434.69999999999959</v>
      </c>
    </row>
    <row r="141" spans="2:8" x14ac:dyDescent="0.25">
      <c r="C141" s="222">
        <f t="shared" si="2"/>
        <v>115</v>
      </c>
      <c r="D141" s="253">
        <f>IF(('Pasture Insurance'!$C$21-(C141*'Pasture Insurance'!$D$17))*'Pasture Insurance'!$D$8&lt;0,0,('Pasture Insurance'!$C$21-(C141*'Pasture Insurance'!$D$17))*'Pasture Insurance'!$D$8)</f>
        <v>1537.2000000000016</v>
      </c>
      <c r="E141" s="253">
        <f>IF(('Pasture Insurance'!$G$21-(C141*'Pasture Insurance'!$H$17))*'Pasture Insurance'!$D$8&lt;0,0,('Pasture Insurance'!$G$21-(C141*'Pasture Insurance'!$H$17))*'Pasture Insurance'!$D$8)</f>
        <v>529.19999999999959</v>
      </c>
    </row>
    <row r="142" spans="2:8" x14ac:dyDescent="0.25">
      <c r="C142" s="222">
        <f t="shared" si="2"/>
        <v>114</v>
      </c>
      <c r="D142" s="253">
        <f>IF(('Pasture Insurance'!$C$21-(C142*'Pasture Insurance'!$D$17))*'Pasture Insurance'!$D$8&lt;0,0,('Pasture Insurance'!$C$21-(C142*'Pasture Insurance'!$D$17))*'Pasture Insurance'!$D$8)</f>
        <v>1811.7000000000016</v>
      </c>
      <c r="E142" s="253">
        <f>IF(('Pasture Insurance'!$G$21-(C142*'Pasture Insurance'!$H$17))*'Pasture Insurance'!$D$8&lt;0,0,('Pasture Insurance'!$G$21-(C142*'Pasture Insurance'!$H$17))*'Pasture Insurance'!$D$8)</f>
        <v>623.69999999999959</v>
      </c>
    </row>
    <row r="143" spans="2:8" x14ac:dyDescent="0.25">
      <c r="C143" s="222">
        <f t="shared" si="2"/>
        <v>113</v>
      </c>
      <c r="D143" s="253">
        <f>IF(('Pasture Insurance'!$C$21-(C143*'Pasture Insurance'!$D$17))*'Pasture Insurance'!$D$8&lt;0,0,('Pasture Insurance'!$C$21-(C143*'Pasture Insurance'!$D$17))*'Pasture Insurance'!$D$8)</f>
        <v>2086.2000000000016</v>
      </c>
      <c r="E143" s="253">
        <f>IF(('Pasture Insurance'!$G$21-(C143*'Pasture Insurance'!$H$17))*'Pasture Insurance'!$D$8&lt;0,0,('Pasture Insurance'!$G$21-(C143*'Pasture Insurance'!$H$17))*'Pasture Insurance'!$D$8)</f>
        <v>718.19999999999959</v>
      </c>
    </row>
    <row r="144" spans="2:8" x14ac:dyDescent="0.25">
      <c r="C144" s="222">
        <f t="shared" si="2"/>
        <v>112</v>
      </c>
      <c r="D144" s="253">
        <f>IF(('Pasture Insurance'!$C$21-(C144*'Pasture Insurance'!$D$17))*'Pasture Insurance'!$D$8&lt;0,0,('Pasture Insurance'!$C$21-(C144*'Pasture Insurance'!$D$17))*'Pasture Insurance'!$D$8)</f>
        <v>2360.7000000000016</v>
      </c>
      <c r="E144" s="253">
        <f>IF(('Pasture Insurance'!$G$21-(C144*'Pasture Insurance'!$H$17))*'Pasture Insurance'!$D$8&lt;0,0,('Pasture Insurance'!$G$21-(C144*'Pasture Insurance'!$H$17))*'Pasture Insurance'!$D$8)</f>
        <v>812.69999999999959</v>
      </c>
    </row>
    <row r="145" spans="3:5" x14ac:dyDescent="0.25">
      <c r="C145" s="222">
        <f t="shared" si="2"/>
        <v>111</v>
      </c>
      <c r="D145" s="253">
        <f>IF(('Pasture Insurance'!$C$21-(C145*'Pasture Insurance'!$D$17))*'Pasture Insurance'!$D$8&lt;0,0,('Pasture Insurance'!$C$21-(C145*'Pasture Insurance'!$D$17))*'Pasture Insurance'!$D$8)</f>
        <v>2635.2000000000016</v>
      </c>
      <c r="E145" s="253">
        <f>IF(('Pasture Insurance'!$G$21-(C145*'Pasture Insurance'!$H$17))*'Pasture Insurance'!$D$8&lt;0,0,('Pasture Insurance'!$G$21-(C145*'Pasture Insurance'!$H$17))*'Pasture Insurance'!$D$8)</f>
        <v>907.19999999999959</v>
      </c>
    </row>
    <row r="146" spans="3:5" x14ac:dyDescent="0.25">
      <c r="C146" s="222">
        <f t="shared" si="2"/>
        <v>110</v>
      </c>
      <c r="D146" s="253">
        <f>IF(('Pasture Insurance'!$C$21-(C146*'Pasture Insurance'!$D$17))*'Pasture Insurance'!$D$8&lt;0,0,('Pasture Insurance'!$C$21-(C146*'Pasture Insurance'!$D$17))*'Pasture Insurance'!$D$8)</f>
        <v>2909.7000000000016</v>
      </c>
      <c r="E146" s="253">
        <f>IF(('Pasture Insurance'!$G$21-(C146*'Pasture Insurance'!$H$17))*'Pasture Insurance'!$D$8&lt;0,0,('Pasture Insurance'!$G$21-(C146*'Pasture Insurance'!$H$17))*'Pasture Insurance'!$D$8)</f>
        <v>1001.6999999999996</v>
      </c>
    </row>
    <row r="147" spans="3:5" x14ac:dyDescent="0.25">
      <c r="C147" s="222">
        <f t="shared" si="2"/>
        <v>109</v>
      </c>
      <c r="D147" s="253">
        <f>IF(('Pasture Insurance'!$C$21-(C147*'Pasture Insurance'!$D$17))*'Pasture Insurance'!$D$8&lt;0,0,('Pasture Insurance'!$C$21-(C147*'Pasture Insurance'!$D$17))*'Pasture Insurance'!$D$8)</f>
        <v>3184.2000000000016</v>
      </c>
      <c r="E147" s="253">
        <f>IF(('Pasture Insurance'!$G$21-(C147*'Pasture Insurance'!$H$17))*'Pasture Insurance'!$D$8&lt;0,0,('Pasture Insurance'!$G$21-(C147*'Pasture Insurance'!$H$17))*'Pasture Insurance'!$D$8)</f>
        <v>1096.1999999999996</v>
      </c>
    </row>
    <row r="148" spans="3:5" x14ac:dyDescent="0.25">
      <c r="C148" s="222">
        <f t="shared" si="2"/>
        <v>108</v>
      </c>
      <c r="D148" s="253">
        <f>IF(('Pasture Insurance'!$C$21-(C148*'Pasture Insurance'!$D$17))*'Pasture Insurance'!$D$8&lt;0,0,('Pasture Insurance'!$C$21-(C148*'Pasture Insurance'!$D$17))*'Pasture Insurance'!$D$8)</f>
        <v>3458.7000000000016</v>
      </c>
      <c r="E148" s="253">
        <f>IF(('Pasture Insurance'!$G$21-(C148*'Pasture Insurance'!$H$17))*'Pasture Insurance'!$D$8&lt;0,0,('Pasture Insurance'!$G$21-(C148*'Pasture Insurance'!$H$17))*'Pasture Insurance'!$D$8)</f>
        <v>1190.6999999999996</v>
      </c>
    </row>
    <row r="149" spans="3:5" x14ac:dyDescent="0.25">
      <c r="C149" s="222">
        <f t="shared" si="2"/>
        <v>107</v>
      </c>
      <c r="D149" s="253">
        <f>IF(('Pasture Insurance'!$C$21-(C149*'Pasture Insurance'!$D$17))*'Pasture Insurance'!$D$8&lt;0,0,('Pasture Insurance'!$C$21-(C149*'Pasture Insurance'!$D$17))*'Pasture Insurance'!$D$8)</f>
        <v>3733.2000000000016</v>
      </c>
      <c r="E149" s="253">
        <f>IF(('Pasture Insurance'!$G$21-(C149*'Pasture Insurance'!$H$17))*'Pasture Insurance'!$D$8&lt;0,0,('Pasture Insurance'!$G$21-(C149*'Pasture Insurance'!$H$17))*'Pasture Insurance'!$D$8)</f>
        <v>1285.1999999999996</v>
      </c>
    </row>
    <row r="150" spans="3:5" x14ac:dyDescent="0.25">
      <c r="C150" s="222">
        <f t="shared" si="2"/>
        <v>106</v>
      </c>
      <c r="D150" s="253">
        <f>IF(('Pasture Insurance'!$C$21-(C150*'Pasture Insurance'!$D$17))*'Pasture Insurance'!$D$8&lt;0,0,('Pasture Insurance'!$C$21-(C150*'Pasture Insurance'!$D$17))*'Pasture Insurance'!$D$8)</f>
        <v>4007.7000000000016</v>
      </c>
      <c r="E150" s="253">
        <f>IF(('Pasture Insurance'!$G$21-(C150*'Pasture Insurance'!$H$17))*'Pasture Insurance'!$D$8&lt;0,0,('Pasture Insurance'!$G$21-(C150*'Pasture Insurance'!$H$17))*'Pasture Insurance'!$D$8)</f>
        <v>1379.6999999999996</v>
      </c>
    </row>
    <row r="151" spans="3:5" x14ac:dyDescent="0.25">
      <c r="C151" s="222">
        <f t="shared" si="2"/>
        <v>105</v>
      </c>
      <c r="D151" s="253">
        <f>IF(('Pasture Insurance'!$C$21-(C151*'Pasture Insurance'!$D$17))*'Pasture Insurance'!$D$8&lt;0,0,('Pasture Insurance'!$C$21-(C151*'Pasture Insurance'!$D$17))*'Pasture Insurance'!$D$8)</f>
        <v>4282.2000000000016</v>
      </c>
      <c r="E151" s="253">
        <f>IF(('Pasture Insurance'!$G$21-(C151*'Pasture Insurance'!$H$17))*'Pasture Insurance'!$D$8&lt;0,0,('Pasture Insurance'!$G$21-(C151*'Pasture Insurance'!$H$17))*'Pasture Insurance'!$D$8)</f>
        <v>1474.1999999999996</v>
      </c>
    </row>
    <row r="152" spans="3:5" x14ac:dyDescent="0.25">
      <c r="C152" s="222">
        <f t="shared" si="2"/>
        <v>104</v>
      </c>
      <c r="D152" s="253">
        <f>IF(('Pasture Insurance'!$C$21-(C152*'Pasture Insurance'!$D$17))*'Pasture Insurance'!$D$8&lt;0,0,('Pasture Insurance'!$C$21-(C152*'Pasture Insurance'!$D$17))*'Pasture Insurance'!$D$8)</f>
        <v>4556.7000000000016</v>
      </c>
      <c r="E152" s="253">
        <f>IF(('Pasture Insurance'!$G$21-(C152*'Pasture Insurance'!$H$17))*'Pasture Insurance'!$D$8&lt;0,0,('Pasture Insurance'!$G$21-(C152*'Pasture Insurance'!$H$17))*'Pasture Insurance'!$D$8)</f>
        <v>1568.6999999999996</v>
      </c>
    </row>
    <row r="153" spans="3:5" x14ac:dyDescent="0.25">
      <c r="C153" s="222">
        <f t="shared" si="2"/>
        <v>103</v>
      </c>
      <c r="D153" s="253">
        <f>IF(('Pasture Insurance'!$C$21-(C153*'Pasture Insurance'!$D$17))*'Pasture Insurance'!$D$8&lt;0,0,('Pasture Insurance'!$C$21-(C153*'Pasture Insurance'!$D$17))*'Pasture Insurance'!$D$8)</f>
        <v>4831.2000000000016</v>
      </c>
      <c r="E153" s="253">
        <f>IF(('Pasture Insurance'!$G$21-(C153*'Pasture Insurance'!$H$17))*'Pasture Insurance'!$D$8&lt;0,0,('Pasture Insurance'!$G$21-(C153*'Pasture Insurance'!$H$17))*'Pasture Insurance'!$D$8)</f>
        <v>1663.1999999999996</v>
      </c>
    </row>
    <row r="154" spans="3:5" x14ac:dyDescent="0.25">
      <c r="C154" s="222">
        <f t="shared" si="2"/>
        <v>102</v>
      </c>
      <c r="D154" s="253">
        <f>IF(('Pasture Insurance'!$C$21-(C154*'Pasture Insurance'!$D$17))*'Pasture Insurance'!$D$8&lt;0,0,('Pasture Insurance'!$C$21-(C154*'Pasture Insurance'!$D$17))*'Pasture Insurance'!$D$8)</f>
        <v>5105.7000000000016</v>
      </c>
      <c r="E154" s="253">
        <f>IF(('Pasture Insurance'!$G$21-(C154*'Pasture Insurance'!$H$17))*'Pasture Insurance'!$D$8&lt;0,0,('Pasture Insurance'!$G$21-(C154*'Pasture Insurance'!$H$17))*'Pasture Insurance'!$D$8)</f>
        <v>1757.6999999999996</v>
      </c>
    </row>
    <row r="155" spans="3:5" x14ac:dyDescent="0.25">
      <c r="C155" s="222">
        <f t="shared" si="2"/>
        <v>101</v>
      </c>
      <c r="D155" s="253">
        <f>IF(('Pasture Insurance'!$C$21-(C155*'Pasture Insurance'!$D$17))*'Pasture Insurance'!$D$8&lt;0,0,('Pasture Insurance'!$C$21-(C155*'Pasture Insurance'!$D$17))*'Pasture Insurance'!$D$8)</f>
        <v>5380.2000000000016</v>
      </c>
      <c r="E155" s="253">
        <f>IF(('Pasture Insurance'!$G$21-(C155*'Pasture Insurance'!$H$17))*'Pasture Insurance'!$D$8&lt;0,0,('Pasture Insurance'!$G$21-(C155*'Pasture Insurance'!$H$17))*'Pasture Insurance'!$D$8)</f>
        <v>1852.1999999999996</v>
      </c>
    </row>
    <row r="156" spans="3:5" x14ac:dyDescent="0.25">
      <c r="C156" s="222">
        <f t="shared" si="2"/>
        <v>100</v>
      </c>
      <c r="D156" s="253">
        <f>IF(('Pasture Insurance'!$C$21-(C156*'Pasture Insurance'!$D$17))*'Pasture Insurance'!$D$8&lt;0,0,('Pasture Insurance'!$C$21-(C156*'Pasture Insurance'!$D$17))*'Pasture Insurance'!$D$8)</f>
        <v>5654.7000000000016</v>
      </c>
      <c r="E156" s="253">
        <f>IF(('Pasture Insurance'!$G$21-(C156*'Pasture Insurance'!$H$17))*'Pasture Insurance'!$D$8&lt;0,0,('Pasture Insurance'!$G$21-(C156*'Pasture Insurance'!$H$17))*'Pasture Insurance'!$D$8)</f>
        <v>1946.6999999999996</v>
      </c>
    </row>
    <row r="157" spans="3:5" x14ac:dyDescent="0.25">
      <c r="C157" s="222">
        <f t="shared" si="2"/>
        <v>99</v>
      </c>
      <c r="D157" s="253">
        <f>IF(('Pasture Insurance'!$C$21-(C157*'Pasture Insurance'!$D$17))*'Pasture Insurance'!$D$8&lt;0,0,('Pasture Insurance'!$C$21-(C157*'Pasture Insurance'!$D$17))*'Pasture Insurance'!$D$8)</f>
        <v>5929.2000000000016</v>
      </c>
      <c r="E157" s="253">
        <f>IF(('Pasture Insurance'!$G$21-(C157*'Pasture Insurance'!$H$17))*'Pasture Insurance'!$D$8&lt;0,0,('Pasture Insurance'!$G$21-(C157*'Pasture Insurance'!$H$17))*'Pasture Insurance'!$D$8)</f>
        <v>2041.1999999999996</v>
      </c>
    </row>
    <row r="158" spans="3:5" x14ac:dyDescent="0.25">
      <c r="C158" s="222">
        <f t="shared" si="2"/>
        <v>98</v>
      </c>
      <c r="D158" s="253">
        <f>IF(('Pasture Insurance'!$C$21-(C158*'Pasture Insurance'!$D$17))*'Pasture Insurance'!$D$8&lt;0,0,('Pasture Insurance'!$C$21-(C158*'Pasture Insurance'!$D$17))*'Pasture Insurance'!$D$8)</f>
        <v>6203.7000000000016</v>
      </c>
      <c r="E158" s="253">
        <f>IF(('Pasture Insurance'!$G$21-(C158*'Pasture Insurance'!$H$17))*'Pasture Insurance'!$D$8&lt;0,0,('Pasture Insurance'!$G$21-(C158*'Pasture Insurance'!$H$17))*'Pasture Insurance'!$D$8)</f>
        <v>2135.6999999999998</v>
      </c>
    </row>
    <row r="159" spans="3:5" x14ac:dyDescent="0.25">
      <c r="C159" s="222">
        <f t="shared" si="2"/>
        <v>97</v>
      </c>
      <c r="D159" s="253">
        <f>IF(('Pasture Insurance'!$C$21-(C159*'Pasture Insurance'!$D$17))*'Pasture Insurance'!$D$8&lt;0,0,('Pasture Insurance'!$C$21-(C159*'Pasture Insurance'!$D$17))*'Pasture Insurance'!$D$8)</f>
        <v>6478.2000000000016</v>
      </c>
      <c r="E159" s="253">
        <f>IF(('Pasture Insurance'!$G$21-(C159*'Pasture Insurance'!$H$17))*'Pasture Insurance'!$D$8&lt;0,0,('Pasture Insurance'!$G$21-(C159*'Pasture Insurance'!$H$17))*'Pasture Insurance'!$D$8)</f>
        <v>2230.1999999999998</v>
      </c>
    </row>
    <row r="160" spans="3:5" x14ac:dyDescent="0.25">
      <c r="C160" s="222">
        <f t="shared" si="2"/>
        <v>96</v>
      </c>
      <c r="D160" s="253">
        <f>IF(('Pasture Insurance'!$C$21-(C160*'Pasture Insurance'!$D$17))*'Pasture Insurance'!$D$8&lt;0,0,('Pasture Insurance'!$C$21-(C160*'Pasture Insurance'!$D$17))*'Pasture Insurance'!$D$8)</f>
        <v>6752.7000000000016</v>
      </c>
      <c r="E160" s="253">
        <f>IF(('Pasture Insurance'!$G$21-(C160*'Pasture Insurance'!$H$17))*'Pasture Insurance'!$D$8&lt;0,0,('Pasture Insurance'!$G$21-(C160*'Pasture Insurance'!$H$17))*'Pasture Insurance'!$D$8)</f>
        <v>2324.6999999999998</v>
      </c>
    </row>
    <row r="161" spans="3:5" x14ac:dyDescent="0.25">
      <c r="C161" s="222">
        <f t="shared" si="2"/>
        <v>95</v>
      </c>
      <c r="D161" s="253">
        <f>IF(('Pasture Insurance'!$C$21-(C161*'Pasture Insurance'!$D$17))*'Pasture Insurance'!$D$8&lt;0,0,('Pasture Insurance'!$C$21-(C161*'Pasture Insurance'!$D$17))*'Pasture Insurance'!$D$8)</f>
        <v>7027.2000000000016</v>
      </c>
      <c r="E161" s="253">
        <f>IF(('Pasture Insurance'!$G$21-(C161*'Pasture Insurance'!$H$17))*'Pasture Insurance'!$D$8&lt;0,0,('Pasture Insurance'!$G$21-(C161*'Pasture Insurance'!$H$17))*'Pasture Insurance'!$D$8)</f>
        <v>2419.1999999999998</v>
      </c>
    </row>
    <row r="162" spans="3:5" x14ac:dyDescent="0.25">
      <c r="C162" s="222">
        <f t="shared" si="2"/>
        <v>94</v>
      </c>
      <c r="D162" s="253">
        <f>IF(('Pasture Insurance'!$C$21-(C162*'Pasture Insurance'!$D$17))*'Pasture Insurance'!$D$8&lt;0,0,('Pasture Insurance'!$C$21-(C162*'Pasture Insurance'!$D$17))*'Pasture Insurance'!$D$8)</f>
        <v>7301.7000000000016</v>
      </c>
      <c r="E162" s="253">
        <f>IF(('Pasture Insurance'!$G$21-(C162*'Pasture Insurance'!$H$17))*'Pasture Insurance'!$D$8&lt;0,0,('Pasture Insurance'!$G$21-(C162*'Pasture Insurance'!$H$17))*'Pasture Insurance'!$D$8)</f>
        <v>2513.6999999999998</v>
      </c>
    </row>
    <row r="163" spans="3:5" x14ac:dyDescent="0.25">
      <c r="C163" s="222">
        <f t="shared" si="2"/>
        <v>93</v>
      </c>
      <c r="D163" s="253">
        <f>IF(('Pasture Insurance'!$C$21-(C163*'Pasture Insurance'!$D$17))*'Pasture Insurance'!$D$8&lt;0,0,('Pasture Insurance'!$C$21-(C163*'Pasture Insurance'!$D$17))*'Pasture Insurance'!$D$8)</f>
        <v>7576.2000000000016</v>
      </c>
      <c r="E163" s="253">
        <f>IF(('Pasture Insurance'!$G$21-(C163*'Pasture Insurance'!$H$17))*'Pasture Insurance'!$D$8&lt;0,0,('Pasture Insurance'!$G$21-(C163*'Pasture Insurance'!$H$17))*'Pasture Insurance'!$D$8)</f>
        <v>2608.1999999999998</v>
      </c>
    </row>
    <row r="164" spans="3:5" x14ac:dyDescent="0.25">
      <c r="C164" s="222">
        <f t="shared" si="2"/>
        <v>92</v>
      </c>
      <c r="D164" s="253">
        <f>IF(('Pasture Insurance'!$C$21-(C164*'Pasture Insurance'!$D$17))*'Pasture Insurance'!$D$8&lt;0,0,('Pasture Insurance'!$C$21-(C164*'Pasture Insurance'!$D$17))*'Pasture Insurance'!$D$8)</f>
        <v>7850.7000000000016</v>
      </c>
      <c r="E164" s="253">
        <f>IF(('Pasture Insurance'!$G$21-(C164*'Pasture Insurance'!$H$17))*'Pasture Insurance'!$D$8&lt;0,0,('Pasture Insurance'!$G$21-(C164*'Pasture Insurance'!$H$17))*'Pasture Insurance'!$D$8)</f>
        <v>2702.7</v>
      </c>
    </row>
    <row r="165" spans="3:5" x14ac:dyDescent="0.25">
      <c r="C165" s="222">
        <f t="shared" si="2"/>
        <v>91</v>
      </c>
      <c r="D165" s="253">
        <f>IF(('Pasture Insurance'!$C$21-(C165*'Pasture Insurance'!$D$17))*'Pasture Insurance'!$D$8&lt;0,0,('Pasture Insurance'!$C$21-(C165*'Pasture Insurance'!$D$17))*'Pasture Insurance'!$D$8)</f>
        <v>8125.2000000000016</v>
      </c>
      <c r="E165" s="253">
        <f>IF(('Pasture Insurance'!$G$21-(C165*'Pasture Insurance'!$H$17))*'Pasture Insurance'!$D$8&lt;0,0,('Pasture Insurance'!$G$21-(C165*'Pasture Insurance'!$H$17))*'Pasture Insurance'!$D$8)</f>
        <v>2797.2</v>
      </c>
    </row>
    <row r="166" spans="3:5" x14ac:dyDescent="0.25">
      <c r="C166" s="222">
        <f t="shared" si="2"/>
        <v>90</v>
      </c>
      <c r="D166" s="253">
        <f>IF(('Pasture Insurance'!$C$21-(C166*'Pasture Insurance'!$D$17))*'Pasture Insurance'!$D$8&lt;0,0,('Pasture Insurance'!$C$21-(C166*'Pasture Insurance'!$D$17))*'Pasture Insurance'!$D$8)</f>
        <v>8399.7000000000007</v>
      </c>
      <c r="E166" s="253">
        <f>IF(('Pasture Insurance'!$G$21-(C166*'Pasture Insurance'!$H$17))*'Pasture Insurance'!$D$8&lt;0,0,('Pasture Insurance'!$G$21-(C166*'Pasture Insurance'!$H$17))*'Pasture Insurance'!$D$8)</f>
        <v>2891.7</v>
      </c>
    </row>
    <row r="167" spans="3:5" x14ac:dyDescent="0.25">
      <c r="C167" s="222">
        <f t="shared" si="2"/>
        <v>89</v>
      </c>
      <c r="D167" s="253">
        <f>IF(('Pasture Insurance'!$C$21-(C167*'Pasture Insurance'!$D$17))*'Pasture Insurance'!$D$8&lt;0,0,('Pasture Insurance'!$C$21-(C167*'Pasture Insurance'!$D$17))*'Pasture Insurance'!$D$8)</f>
        <v>8674.2000000000007</v>
      </c>
      <c r="E167" s="253">
        <f>IF(('Pasture Insurance'!$G$21-(C167*'Pasture Insurance'!$H$17))*'Pasture Insurance'!$D$8&lt;0,0,('Pasture Insurance'!$G$21-(C167*'Pasture Insurance'!$H$17))*'Pasture Insurance'!$D$8)</f>
        <v>2986.2</v>
      </c>
    </row>
    <row r="168" spans="3:5" x14ac:dyDescent="0.25">
      <c r="C168" s="222">
        <f t="shared" ref="C168:C199" si="3">C167-1</f>
        <v>88</v>
      </c>
      <c r="D168" s="253">
        <f>IF(('Pasture Insurance'!$C$21-(C168*'Pasture Insurance'!$D$17))*'Pasture Insurance'!$D$8&lt;0,0,('Pasture Insurance'!$C$21-(C168*'Pasture Insurance'!$D$17))*'Pasture Insurance'!$D$8)</f>
        <v>8948.7000000000007</v>
      </c>
      <c r="E168" s="253">
        <f>IF(('Pasture Insurance'!$G$21-(C168*'Pasture Insurance'!$H$17))*'Pasture Insurance'!$D$8&lt;0,0,('Pasture Insurance'!$G$21-(C168*'Pasture Insurance'!$H$17))*'Pasture Insurance'!$D$8)</f>
        <v>3080.7</v>
      </c>
    </row>
    <row r="169" spans="3:5" x14ac:dyDescent="0.25">
      <c r="C169" s="222">
        <f t="shared" si="3"/>
        <v>87</v>
      </c>
      <c r="D169" s="253">
        <f>IF(('Pasture Insurance'!$C$21-(C169*'Pasture Insurance'!$D$17))*'Pasture Insurance'!$D$8&lt;0,0,('Pasture Insurance'!$C$21-(C169*'Pasture Insurance'!$D$17))*'Pasture Insurance'!$D$8)</f>
        <v>9223.2000000000007</v>
      </c>
      <c r="E169" s="253">
        <f>IF(('Pasture Insurance'!$G$21-(C169*'Pasture Insurance'!$H$17))*'Pasture Insurance'!$D$8&lt;0,0,('Pasture Insurance'!$G$21-(C169*'Pasture Insurance'!$H$17))*'Pasture Insurance'!$D$8)</f>
        <v>3175.2</v>
      </c>
    </row>
    <row r="170" spans="3:5" x14ac:dyDescent="0.25">
      <c r="C170" s="222">
        <f t="shared" si="3"/>
        <v>86</v>
      </c>
      <c r="D170" s="253">
        <f>IF(('Pasture Insurance'!$C$21-(C170*'Pasture Insurance'!$D$17))*'Pasture Insurance'!$D$8&lt;0,0,('Pasture Insurance'!$C$21-(C170*'Pasture Insurance'!$D$17))*'Pasture Insurance'!$D$8)</f>
        <v>9497.7000000000007</v>
      </c>
      <c r="E170" s="253">
        <f>IF(('Pasture Insurance'!$G$21-(C170*'Pasture Insurance'!$H$17))*'Pasture Insurance'!$D$8&lt;0,0,('Pasture Insurance'!$G$21-(C170*'Pasture Insurance'!$H$17))*'Pasture Insurance'!$D$8)</f>
        <v>3269.7</v>
      </c>
    </row>
    <row r="171" spans="3:5" x14ac:dyDescent="0.25">
      <c r="C171" s="222">
        <f t="shared" si="3"/>
        <v>85</v>
      </c>
      <c r="D171" s="253">
        <f>IF(('Pasture Insurance'!$C$21-(C171*'Pasture Insurance'!$D$17))*'Pasture Insurance'!$D$8&lt;0,0,('Pasture Insurance'!$C$21-(C171*'Pasture Insurance'!$D$17))*'Pasture Insurance'!$D$8)</f>
        <v>9772.2000000000007</v>
      </c>
      <c r="E171" s="253">
        <f>IF(('Pasture Insurance'!$G$21-(C171*'Pasture Insurance'!$H$17))*'Pasture Insurance'!$D$8&lt;0,0,('Pasture Insurance'!$G$21-(C171*'Pasture Insurance'!$H$17))*'Pasture Insurance'!$D$8)</f>
        <v>3364.2</v>
      </c>
    </row>
    <row r="172" spans="3:5" x14ac:dyDescent="0.25">
      <c r="C172" s="222">
        <f t="shared" si="3"/>
        <v>84</v>
      </c>
      <c r="D172" s="253">
        <f>IF(('Pasture Insurance'!$C$21-(C172*'Pasture Insurance'!$D$17))*'Pasture Insurance'!$D$8&lt;0,0,('Pasture Insurance'!$C$21-(C172*'Pasture Insurance'!$D$17))*'Pasture Insurance'!$D$8)</f>
        <v>10046.700000000001</v>
      </c>
      <c r="E172" s="253">
        <f>IF(('Pasture Insurance'!$G$21-(C172*'Pasture Insurance'!$H$17))*'Pasture Insurance'!$D$8&lt;0,0,('Pasture Insurance'!$G$21-(C172*'Pasture Insurance'!$H$17))*'Pasture Insurance'!$D$8)</f>
        <v>3458.7</v>
      </c>
    </row>
    <row r="173" spans="3:5" x14ac:dyDescent="0.25">
      <c r="C173" s="222">
        <f t="shared" si="3"/>
        <v>83</v>
      </c>
      <c r="D173" s="253">
        <f>IF(('Pasture Insurance'!$C$21-(C173*'Pasture Insurance'!$D$17))*'Pasture Insurance'!$D$8&lt;0,0,('Pasture Insurance'!$C$21-(C173*'Pasture Insurance'!$D$17))*'Pasture Insurance'!$D$8)</f>
        <v>10321.200000000001</v>
      </c>
      <c r="E173" s="253">
        <f>IF(('Pasture Insurance'!$G$21-(C173*'Pasture Insurance'!$H$17))*'Pasture Insurance'!$D$8&lt;0,0,('Pasture Insurance'!$G$21-(C173*'Pasture Insurance'!$H$17))*'Pasture Insurance'!$D$8)</f>
        <v>3553.2</v>
      </c>
    </row>
    <row r="174" spans="3:5" x14ac:dyDescent="0.25">
      <c r="C174" s="222">
        <f t="shared" si="3"/>
        <v>82</v>
      </c>
      <c r="D174" s="253">
        <f>IF(('Pasture Insurance'!$C$21-(C174*'Pasture Insurance'!$D$17))*'Pasture Insurance'!$D$8&lt;0,0,('Pasture Insurance'!$C$21-(C174*'Pasture Insurance'!$D$17))*'Pasture Insurance'!$D$8)</f>
        <v>10595.7</v>
      </c>
      <c r="E174" s="253">
        <f>IF(('Pasture Insurance'!$G$21-(C174*'Pasture Insurance'!$H$17))*'Pasture Insurance'!$D$8&lt;0,0,('Pasture Insurance'!$G$21-(C174*'Pasture Insurance'!$H$17))*'Pasture Insurance'!$D$8)</f>
        <v>3647.7</v>
      </c>
    </row>
    <row r="175" spans="3:5" x14ac:dyDescent="0.25">
      <c r="C175" s="222">
        <f t="shared" si="3"/>
        <v>81</v>
      </c>
      <c r="D175" s="253">
        <f>IF(('Pasture Insurance'!$C$21-(C175*'Pasture Insurance'!$D$17))*'Pasture Insurance'!$D$8&lt;0,0,('Pasture Insurance'!$C$21-(C175*'Pasture Insurance'!$D$17))*'Pasture Insurance'!$D$8)</f>
        <v>10870.2</v>
      </c>
      <c r="E175" s="253">
        <f>IF(('Pasture Insurance'!$G$21-(C175*'Pasture Insurance'!$H$17))*'Pasture Insurance'!$D$8&lt;0,0,('Pasture Insurance'!$G$21-(C175*'Pasture Insurance'!$H$17))*'Pasture Insurance'!$D$8)</f>
        <v>3742.2</v>
      </c>
    </row>
    <row r="176" spans="3:5" x14ac:dyDescent="0.25">
      <c r="C176" s="222">
        <f t="shared" si="3"/>
        <v>80</v>
      </c>
      <c r="D176" s="253">
        <f>IF(('Pasture Insurance'!$C$21-(C176*'Pasture Insurance'!$D$17))*'Pasture Insurance'!$D$8&lt;0,0,('Pasture Insurance'!$C$21-(C176*'Pasture Insurance'!$D$17))*'Pasture Insurance'!$D$8)</f>
        <v>11144.7</v>
      </c>
      <c r="E176" s="253">
        <f>IF(('Pasture Insurance'!$G$21-(C176*'Pasture Insurance'!$H$17))*'Pasture Insurance'!$D$8&lt;0,0,('Pasture Insurance'!$G$21-(C176*'Pasture Insurance'!$H$17))*'Pasture Insurance'!$D$8)</f>
        <v>3836.7</v>
      </c>
    </row>
    <row r="177" spans="3:5" x14ac:dyDescent="0.25">
      <c r="C177" s="222">
        <f t="shared" si="3"/>
        <v>79</v>
      </c>
      <c r="D177" s="253">
        <f>IF(('Pasture Insurance'!$C$21-(C177*'Pasture Insurance'!$D$17))*'Pasture Insurance'!$D$8&lt;0,0,('Pasture Insurance'!$C$21-(C177*'Pasture Insurance'!$D$17))*'Pasture Insurance'!$D$8)</f>
        <v>11419.2</v>
      </c>
      <c r="E177" s="253">
        <f>IF(('Pasture Insurance'!$G$21-(C177*'Pasture Insurance'!$H$17))*'Pasture Insurance'!$D$8&lt;0,0,('Pasture Insurance'!$G$21-(C177*'Pasture Insurance'!$H$17))*'Pasture Insurance'!$D$8)</f>
        <v>3931.2</v>
      </c>
    </row>
    <row r="178" spans="3:5" x14ac:dyDescent="0.25">
      <c r="C178" s="222">
        <f t="shared" si="3"/>
        <v>78</v>
      </c>
      <c r="D178" s="253">
        <f>IF(('Pasture Insurance'!$C$21-(C178*'Pasture Insurance'!$D$17))*'Pasture Insurance'!$D$8&lt;0,0,('Pasture Insurance'!$C$21-(C178*'Pasture Insurance'!$D$17))*'Pasture Insurance'!$D$8)</f>
        <v>11693.7</v>
      </c>
      <c r="E178" s="253">
        <f>IF(('Pasture Insurance'!$G$21-(C178*'Pasture Insurance'!$H$17))*'Pasture Insurance'!$D$8&lt;0,0,('Pasture Insurance'!$G$21-(C178*'Pasture Insurance'!$H$17))*'Pasture Insurance'!$D$8)</f>
        <v>4025.7</v>
      </c>
    </row>
    <row r="179" spans="3:5" x14ac:dyDescent="0.25">
      <c r="C179" s="222">
        <f t="shared" si="3"/>
        <v>77</v>
      </c>
      <c r="D179" s="253">
        <f>IF(('Pasture Insurance'!$C$21-(C179*'Pasture Insurance'!$D$17))*'Pasture Insurance'!$D$8&lt;0,0,('Pasture Insurance'!$C$21-(C179*'Pasture Insurance'!$D$17))*'Pasture Insurance'!$D$8)</f>
        <v>11968.2</v>
      </c>
      <c r="E179" s="253">
        <f>IF(('Pasture Insurance'!$G$21-(C179*'Pasture Insurance'!$H$17))*'Pasture Insurance'!$D$8&lt;0,0,('Pasture Insurance'!$G$21-(C179*'Pasture Insurance'!$H$17))*'Pasture Insurance'!$D$8)</f>
        <v>4120.2</v>
      </c>
    </row>
    <row r="180" spans="3:5" x14ac:dyDescent="0.25">
      <c r="C180" s="222">
        <f t="shared" si="3"/>
        <v>76</v>
      </c>
      <c r="D180" s="253">
        <f>IF(('Pasture Insurance'!$C$21-(C180*'Pasture Insurance'!$D$17))*'Pasture Insurance'!$D$8&lt;0,0,('Pasture Insurance'!$C$21-(C180*'Pasture Insurance'!$D$17))*'Pasture Insurance'!$D$8)</f>
        <v>12242.7</v>
      </c>
      <c r="E180" s="253">
        <f>IF(('Pasture Insurance'!$G$21-(C180*'Pasture Insurance'!$H$17))*'Pasture Insurance'!$D$8&lt;0,0,('Pasture Insurance'!$G$21-(C180*'Pasture Insurance'!$H$17))*'Pasture Insurance'!$D$8)</f>
        <v>4214.7</v>
      </c>
    </row>
    <row r="181" spans="3:5" x14ac:dyDescent="0.25">
      <c r="C181" s="222">
        <f t="shared" si="3"/>
        <v>75</v>
      </c>
      <c r="D181" s="253">
        <f>IF(('Pasture Insurance'!$C$21-(C181*'Pasture Insurance'!$D$17))*'Pasture Insurance'!$D$8&lt;0,0,('Pasture Insurance'!$C$21-(C181*'Pasture Insurance'!$D$17))*'Pasture Insurance'!$D$8)</f>
        <v>12517.2</v>
      </c>
      <c r="E181" s="253">
        <f>IF(('Pasture Insurance'!$G$21-(C181*'Pasture Insurance'!$H$17))*'Pasture Insurance'!$D$8&lt;0,0,('Pasture Insurance'!$G$21-(C181*'Pasture Insurance'!$H$17))*'Pasture Insurance'!$D$8)</f>
        <v>4309.2</v>
      </c>
    </row>
    <row r="182" spans="3:5" x14ac:dyDescent="0.25">
      <c r="C182" s="222">
        <f t="shared" si="3"/>
        <v>74</v>
      </c>
      <c r="D182" s="253">
        <f>IF(('Pasture Insurance'!$C$21-(C182*'Pasture Insurance'!$D$17))*'Pasture Insurance'!$D$8&lt;0,0,('Pasture Insurance'!$C$21-(C182*'Pasture Insurance'!$D$17))*'Pasture Insurance'!$D$8)</f>
        <v>12791.7</v>
      </c>
      <c r="E182" s="253">
        <f>IF(('Pasture Insurance'!$G$21-(C182*'Pasture Insurance'!$H$17))*'Pasture Insurance'!$D$8&lt;0,0,('Pasture Insurance'!$G$21-(C182*'Pasture Insurance'!$H$17))*'Pasture Insurance'!$D$8)</f>
        <v>4403.7</v>
      </c>
    </row>
    <row r="183" spans="3:5" x14ac:dyDescent="0.25">
      <c r="C183" s="222">
        <f t="shared" si="3"/>
        <v>73</v>
      </c>
      <c r="D183" s="253">
        <f>IF(('Pasture Insurance'!$C$21-(C183*'Pasture Insurance'!$D$17))*'Pasture Insurance'!$D$8&lt;0,0,('Pasture Insurance'!$C$21-(C183*'Pasture Insurance'!$D$17))*'Pasture Insurance'!$D$8)</f>
        <v>13066.2</v>
      </c>
      <c r="E183" s="253">
        <f>IF(('Pasture Insurance'!$G$21-(C183*'Pasture Insurance'!$H$17))*'Pasture Insurance'!$D$8&lt;0,0,('Pasture Insurance'!$G$21-(C183*'Pasture Insurance'!$H$17))*'Pasture Insurance'!$D$8)</f>
        <v>4498.2</v>
      </c>
    </row>
    <row r="184" spans="3:5" x14ac:dyDescent="0.25">
      <c r="C184" s="222">
        <f t="shared" si="3"/>
        <v>72</v>
      </c>
      <c r="D184" s="253">
        <f>IF(('Pasture Insurance'!$C$21-(C184*'Pasture Insurance'!$D$17))*'Pasture Insurance'!$D$8&lt;0,0,('Pasture Insurance'!$C$21-(C184*'Pasture Insurance'!$D$17))*'Pasture Insurance'!$D$8)</f>
        <v>13340.7</v>
      </c>
      <c r="E184" s="253">
        <f>IF(('Pasture Insurance'!$G$21-(C184*'Pasture Insurance'!$H$17))*'Pasture Insurance'!$D$8&lt;0,0,('Pasture Insurance'!$G$21-(C184*'Pasture Insurance'!$H$17))*'Pasture Insurance'!$D$8)</f>
        <v>4592.7</v>
      </c>
    </row>
    <row r="185" spans="3:5" x14ac:dyDescent="0.25">
      <c r="C185" s="222">
        <f t="shared" si="3"/>
        <v>71</v>
      </c>
      <c r="D185" s="253">
        <f>IF(('Pasture Insurance'!$C$21-(C185*'Pasture Insurance'!$D$17))*'Pasture Insurance'!$D$8&lt;0,0,('Pasture Insurance'!$C$21-(C185*'Pasture Insurance'!$D$17))*'Pasture Insurance'!$D$8)</f>
        <v>13615.2</v>
      </c>
      <c r="E185" s="253">
        <f>IF(('Pasture Insurance'!$G$21-(C185*'Pasture Insurance'!$H$17))*'Pasture Insurance'!$D$8&lt;0,0,('Pasture Insurance'!$G$21-(C185*'Pasture Insurance'!$H$17))*'Pasture Insurance'!$D$8)</f>
        <v>4687.2</v>
      </c>
    </row>
    <row r="186" spans="3:5" x14ac:dyDescent="0.25">
      <c r="C186" s="222">
        <f t="shared" si="3"/>
        <v>70</v>
      </c>
      <c r="D186" s="253">
        <f>IF(('Pasture Insurance'!$C$21-(C186*'Pasture Insurance'!$D$17))*'Pasture Insurance'!$D$8&lt;0,0,('Pasture Insurance'!$C$21-(C186*'Pasture Insurance'!$D$17))*'Pasture Insurance'!$D$8)</f>
        <v>13889.7</v>
      </c>
      <c r="E186" s="253">
        <f>IF(('Pasture Insurance'!$G$21-(C186*'Pasture Insurance'!$H$17))*'Pasture Insurance'!$D$8&lt;0,0,('Pasture Insurance'!$G$21-(C186*'Pasture Insurance'!$H$17))*'Pasture Insurance'!$D$8)</f>
        <v>4781.7</v>
      </c>
    </row>
    <row r="187" spans="3:5" x14ac:dyDescent="0.25">
      <c r="C187" s="222">
        <f t="shared" si="3"/>
        <v>69</v>
      </c>
      <c r="D187" s="253">
        <f>IF(('Pasture Insurance'!$C$21-(C187*'Pasture Insurance'!$D$17))*'Pasture Insurance'!$D$8&lt;0,0,('Pasture Insurance'!$C$21-(C187*'Pasture Insurance'!$D$17))*'Pasture Insurance'!$D$8)</f>
        <v>14164.2</v>
      </c>
      <c r="E187" s="253">
        <f>IF(('Pasture Insurance'!$G$21-(C187*'Pasture Insurance'!$H$17))*'Pasture Insurance'!$D$8&lt;0,0,('Pasture Insurance'!$G$21-(C187*'Pasture Insurance'!$H$17))*'Pasture Insurance'!$D$8)</f>
        <v>4876.2</v>
      </c>
    </row>
    <row r="188" spans="3:5" x14ac:dyDescent="0.25">
      <c r="C188" s="222">
        <f t="shared" si="3"/>
        <v>68</v>
      </c>
      <c r="D188" s="253">
        <f>IF(('Pasture Insurance'!$C$21-(C188*'Pasture Insurance'!$D$17))*'Pasture Insurance'!$D$8&lt;0,0,('Pasture Insurance'!$C$21-(C188*'Pasture Insurance'!$D$17))*'Pasture Insurance'!$D$8)</f>
        <v>14438.7</v>
      </c>
      <c r="E188" s="253">
        <f>IF(('Pasture Insurance'!$G$21-(C188*'Pasture Insurance'!$H$17))*'Pasture Insurance'!$D$8&lt;0,0,('Pasture Insurance'!$G$21-(C188*'Pasture Insurance'!$H$17))*'Pasture Insurance'!$D$8)</f>
        <v>4970.7</v>
      </c>
    </row>
    <row r="189" spans="3:5" x14ac:dyDescent="0.25">
      <c r="C189" s="222">
        <f t="shared" si="3"/>
        <v>67</v>
      </c>
      <c r="D189" s="253">
        <f>IF(('Pasture Insurance'!$C$21-(C189*'Pasture Insurance'!$D$17))*'Pasture Insurance'!$D$8&lt;0,0,('Pasture Insurance'!$C$21-(C189*'Pasture Insurance'!$D$17))*'Pasture Insurance'!$D$8)</f>
        <v>14713.2</v>
      </c>
      <c r="E189" s="253">
        <f>IF(('Pasture Insurance'!$G$21-(C189*'Pasture Insurance'!$H$17))*'Pasture Insurance'!$D$8&lt;0,0,('Pasture Insurance'!$G$21-(C189*'Pasture Insurance'!$H$17))*'Pasture Insurance'!$D$8)</f>
        <v>5065.2</v>
      </c>
    </row>
    <row r="190" spans="3:5" x14ac:dyDescent="0.25">
      <c r="C190" s="222">
        <f t="shared" si="3"/>
        <v>66</v>
      </c>
      <c r="D190" s="253">
        <f>IF(('Pasture Insurance'!$C$21-(C190*'Pasture Insurance'!$D$17))*'Pasture Insurance'!$D$8&lt;0,0,('Pasture Insurance'!$C$21-(C190*'Pasture Insurance'!$D$17))*'Pasture Insurance'!$D$8)</f>
        <v>14987.7</v>
      </c>
      <c r="E190" s="253">
        <f>IF(('Pasture Insurance'!$G$21-(C190*'Pasture Insurance'!$H$17))*'Pasture Insurance'!$D$8&lt;0,0,('Pasture Insurance'!$G$21-(C190*'Pasture Insurance'!$H$17))*'Pasture Insurance'!$D$8)</f>
        <v>5159.7</v>
      </c>
    </row>
    <row r="191" spans="3:5" x14ac:dyDescent="0.25">
      <c r="C191" s="222">
        <f t="shared" si="3"/>
        <v>65</v>
      </c>
      <c r="D191" s="253">
        <f>IF(('Pasture Insurance'!$C$21-(C191*'Pasture Insurance'!$D$17))*'Pasture Insurance'!$D$8&lt;0,0,('Pasture Insurance'!$C$21-(C191*'Pasture Insurance'!$D$17))*'Pasture Insurance'!$D$8)</f>
        <v>15262.2</v>
      </c>
      <c r="E191" s="253">
        <f>IF(('Pasture Insurance'!$G$21-(C191*'Pasture Insurance'!$H$17))*'Pasture Insurance'!$D$8&lt;0,0,('Pasture Insurance'!$G$21-(C191*'Pasture Insurance'!$H$17))*'Pasture Insurance'!$D$8)</f>
        <v>5254.2</v>
      </c>
    </row>
    <row r="192" spans="3:5" x14ac:dyDescent="0.25">
      <c r="C192" s="222">
        <f t="shared" si="3"/>
        <v>64</v>
      </c>
      <c r="D192" s="253">
        <f>IF(('Pasture Insurance'!$C$21-(C192*'Pasture Insurance'!$D$17))*'Pasture Insurance'!$D$8&lt;0,0,('Pasture Insurance'!$C$21-(C192*'Pasture Insurance'!$D$17))*'Pasture Insurance'!$D$8)</f>
        <v>15536.7</v>
      </c>
      <c r="E192" s="253">
        <f>IF(('Pasture Insurance'!$G$21-(C192*'Pasture Insurance'!$H$17))*'Pasture Insurance'!$D$8&lt;0,0,('Pasture Insurance'!$G$21-(C192*'Pasture Insurance'!$H$17))*'Pasture Insurance'!$D$8)</f>
        <v>5348.7</v>
      </c>
    </row>
    <row r="193" spans="3:5" x14ac:dyDescent="0.25">
      <c r="C193" s="222">
        <f t="shared" si="3"/>
        <v>63</v>
      </c>
      <c r="D193" s="253">
        <f>IF(('Pasture Insurance'!$C$21-(C193*'Pasture Insurance'!$D$17))*'Pasture Insurance'!$D$8&lt;0,0,('Pasture Insurance'!$C$21-(C193*'Pasture Insurance'!$D$17))*'Pasture Insurance'!$D$8)</f>
        <v>15811.2</v>
      </c>
      <c r="E193" s="253">
        <f>IF(('Pasture Insurance'!$G$21-(C193*'Pasture Insurance'!$H$17))*'Pasture Insurance'!$D$8&lt;0,0,('Pasture Insurance'!$G$21-(C193*'Pasture Insurance'!$H$17))*'Pasture Insurance'!$D$8)</f>
        <v>5443.2</v>
      </c>
    </row>
    <row r="194" spans="3:5" x14ac:dyDescent="0.25">
      <c r="C194" s="222">
        <f t="shared" si="3"/>
        <v>62</v>
      </c>
      <c r="D194" s="253">
        <f>IF(('Pasture Insurance'!$C$21-(C194*'Pasture Insurance'!$D$17))*'Pasture Insurance'!$D$8&lt;0,0,('Pasture Insurance'!$C$21-(C194*'Pasture Insurance'!$D$17))*'Pasture Insurance'!$D$8)</f>
        <v>16085.7</v>
      </c>
      <c r="E194" s="253">
        <f>IF(('Pasture Insurance'!$G$21-(C194*'Pasture Insurance'!$H$17))*'Pasture Insurance'!$D$8&lt;0,0,('Pasture Insurance'!$G$21-(C194*'Pasture Insurance'!$H$17))*'Pasture Insurance'!$D$8)</f>
        <v>5537.7</v>
      </c>
    </row>
    <row r="195" spans="3:5" x14ac:dyDescent="0.25">
      <c r="C195" s="222">
        <f t="shared" si="3"/>
        <v>61</v>
      </c>
      <c r="D195" s="253">
        <f>IF(('Pasture Insurance'!$C$21-(C195*'Pasture Insurance'!$D$17))*'Pasture Insurance'!$D$8&lt;0,0,('Pasture Insurance'!$C$21-(C195*'Pasture Insurance'!$D$17))*'Pasture Insurance'!$D$8)</f>
        <v>16360.2</v>
      </c>
      <c r="E195" s="253">
        <f>IF(('Pasture Insurance'!$G$21-(C195*'Pasture Insurance'!$H$17))*'Pasture Insurance'!$D$8&lt;0,0,('Pasture Insurance'!$G$21-(C195*'Pasture Insurance'!$H$17))*'Pasture Insurance'!$D$8)</f>
        <v>5632.2</v>
      </c>
    </row>
    <row r="196" spans="3:5" x14ac:dyDescent="0.25">
      <c r="C196" s="222">
        <f t="shared" si="3"/>
        <v>60</v>
      </c>
      <c r="D196" s="253">
        <f>IF(('Pasture Insurance'!$C$21-(C196*'Pasture Insurance'!$D$17))*'Pasture Insurance'!$D$8&lt;0,0,('Pasture Insurance'!$C$21-(C196*'Pasture Insurance'!$D$17))*'Pasture Insurance'!$D$8)</f>
        <v>16634.7</v>
      </c>
      <c r="E196" s="253">
        <f>IF(('Pasture Insurance'!$G$21-(C196*'Pasture Insurance'!$H$17))*'Pasture Insurance'!$D$8&lt;0,0,('Pasture Insurance'!$G$21-(C196*'Pasture Insurance'!$H$17))*'Pasture Insurance'!$D$8)</f>
        <v>5726.7</v>
      </c>
    </row>
    <row r="197" spans="3:5" x14ac:dyDescent="0.25">
      <c r="C197" s="222">
        <f t="shared" si="3"/>
        <v>59</v>
      </c>
      <c r="D197" s="253">
        <f>IF(('Pasture Insurance'!$C$21-(C197*'Pasture Insurance'!$D$17))*'Pasture Insurance'!$D$8&lt;0,0,('Pasture Insurance'!$C$21-(C197*'Pasture Insurance'!$D$17))*'Pasture Insurance'!$D$8)</f>
        <v>16909.2</v>
      </c>
      <c r="E197" s="253">
        <f>IF(('Pasture Insurance'!$G$21-(C197*'Pasture Insurance'!$H$17))*'Pasture Insurance'!$D$8&lt;0,0,('Pasture Insurance'!$G$21-(C197*'Pasture Insurance'!$H$17))*'Pasture Insurance'!$D$8)</f>
        <v>5821.2</v>
      </c>
    </row>
    <row r="198" spans="3:5" x14ac:dyDescent="0.25">
      <c r="C198" s="222">
        <f t="shared" si="3"/>
        <v>58</v>
      </c>
      <c r="D198" s="253">
        <f>IF(('Pasture Insurance'!$C$21-(C198*'Pasture Insurance'!$D$17))*'Pasture Insurance'!$D$8&lt;0,0,('Pasture Insurance'!$C$21-(C198*'Pasture Insurance'!$D$17))*'Pasture Insurance'!$D$8)</f>
        <v>17183.7</v>
      </c>
      <c r="E198" s="253">
        <f>IF(('Pasture Insurance'!$G$21-(C198*'Pasture Insurance'!$H$17))*'Pasture Insurance'!$D$8&lt;0,0,('Pasture Insurance'!$G$21-(C198*'Pasture Insurance'!$H$17))*'Pasture Insurance'!$D$8)</f>
        <v>5915.7</v>
      </c>
    </row>
    <row r="199" spans="3:5" x14ac:dyDescent="0.25">
      <c r="C199" s="222">
        <f t="shared" si="3"/>
        <v>57</v>
      </c>
      <c r="D199" s="253">
        <f>IF(('Pasture Insurance'!$C$21-(C199*'Pasture Insurance'!$D$17))*'Pasture Insurance'!$D$8&lt;0,0,('Pasture Insurance'!$C$21-(C199*'Pasture Insurance'!$D$17))*'Pasture Insurance'!$D$8)</f>
        <v>17458.2</v>
      </c>
      <c r="E199" s="253">
        <f>IF(('Pasture Insurance'!$G$21-(C199*'Pasture Insurance'!$H$17))*'Pasture Insurance'!$D$8&lt;0,0,('Pasture Insurance'!$G$21-(C199*'Pasture Insurance'!$H$17))*'Pasture Insurance'!$D$8)</f>
        <v>6010.2</v>
      </c>
    </row>
    <row r="200" spans="3:5" x14ac:dyDescent="0.25">
      <c r="C200" s="222">
        <f t="shared" ref="C200:C216" si="4">C199-1</f>
        <v>56</v>
      </c>
      <c r="D200" s="253">
        <f>IF(('Pasture Insurance'!$C$21-(C200*'Pasture Insurance'!$D$17))*'Pasture Insurance'!$D$8&lt;0,0,('Pasture Insurance'!$C$21-(C200*'Pasture Insurance'!$D$17))*'Pasture Insurance'!$D$8)</f>
        <v>17732.7</v>
      </c>
      <c r="E200" s="253">
        <f>IF(('Pasture Insurance'!$G$21-(C200*'Pasture Insurance'!$H$17))*'Pasture Insurance'!$D$8&lt;0,0,('Pasture Insurance'!$G$21-(C200*'Pasture Insurance'!$H$17))*'Pasture Insurance'!$D$8)</f>
        <v>6104.7</v>
      </c>
    </row>
    <row r="201" spans="3:5" x14ac:dyDescent="0.25">
      <c r="C201" s="222">
        <f t="shared" si="4"/>
        <v>55</v>
      </c>
      <c r="D201" s="253">
        <f>IF(('Pasture Insurance'!$C$21-(C201*'Pasture Insurance'!$D$17))*'Pasture Insurance'!$D$8&lt;0,0,('Pasture Insurance'!$C$21-(C201*'Pasture Insurance'!$D$17))*'Pasture Insurance'!$D$8)</f>
        <v>18007.2</v>
      </c>
      <c r="E201" s="253">
        <f>IF(('Pasture Insurance'!$G$21-(C201*'Pasture Insurance'!$H$17))*'Pasture Insurance'!$D$8&lt;0,0,('Pasture Insurance'!$G$21-(C201*'Pasture Insurance'!$H$17))*'Pasture Insurance'!$D$8)</f>
        <v>6199.2</v>
      </c>
    </row>
    <row r="202" spans="3:5" x14ac:dyDescent="0.25">
      <c r="C202" s="222">
        <f t="shared" si="4"/>
        <v>54</v>
      </c>
      <c r="D202" s="253">
        <f>IF(('Pasture Insurance'!$C$21-(C202*'Pasture Insurance'!$D$17))*'Pasture Insurance'!$D$8&lt;0,0,('Pasture Insurance'!$C$21-(C202*'Pasture Insurance'!$D$17))*'Pasture Insurance'!$D$8)</f>
        <v>18281.7</v>
      </c>
      <c r="E202" s="253">
        <f>IF(('Pasture Insurance'!$G$21-(C202*'Pasture Insurance'!$H$17))*'Pasture Insurance'!$D$8&lt;0,0,('Pasture Insurance'!$G$21-(C202*'Pasture Insurance'!$H$17))*'Pasture Insurance'!$D$8)</f>
        <v>6293.7</v>
      </c>
    </row>
    <row r="203" spans="3:5" x14ac:dyDescent="0.25">
      <c r="C203" s="222">
        <f t="shared" si="4"/>
        <v>53</v>
      </c>
      <c r="D203" s="253">
        <f>IF(('Pasture Insurance'!$C$21-(C203*'Pasture Insurance'!$D$17))*'Pasture Insurance'!$D$8&lt;0,0,('Pasture Insurance'!$C$21-(C203*'Pasture Insurance'!$D$17))*'Pasture Insurance'!$D$8)</f>
        <v>18556.2</v>
      </c>
      <c r="E203" s="253">
        <f>IF(('Pasture Insurance'!$G$21-(C203*'Pasture Insurance'!$H$17))*'Pasture Insurance'!$D$8&lt;0,0,('Pasture Insurance'!$G$21-(C203*'Pasture Insurance'!$H$17))*'Pasture Insurance'!$D$8)</f>
        <v>6388.2</v>
      </c>
    </row>
    <row r="204" spans="3:5" x14ac:dyDescent="0.25">
      <c r="C204" s="222">
        <f t="shared" si="4"/>
        <v>52</v>
      </c>
      <c r="D204" s="253">
        <f>IF(('Pasture Insurance'!$C$21-(C204*'Pasture Insurance'!$D$17))*'Pasture Insurance'!$D$8&lt;0,0,('Pasture Insurance'!$C$21-(C204*'Pasture Insurance'!$D$17))*'Pasture Insurance'!$D$8)</f>
        <v>18830.7</v>
      </c>
      <c r="E204" s="253">
        <f>IF(('Pasture Insurance'!$G$21-(C204*'Pasture Insurance'!$H$17))*'Pasture Insurance'!$D$8&lt;0,0,('Pasture Insurance'!$G$21-(C204*'Pasture Insurance'!$H$17))*'Pasture Insurance'!$D$8)</f>
        <v>6482.7</v>
      </c>
    </row>
    <row r="205" spans="3:5" x14ac:dyDescent="0.25">
      <c r="C205" s="222">
        <f t="shared" si="4"/>
        <v>51</v>
      </c>
      <c r="D205" s="253">
        <f>IF(('Pasture Insurance'!$C$21-(C205*'Pasture Insurance'!$D$17))*'Pasture Insurance'!$D$8&lt;0,0,('Pasture Insurance'!$C$21-(C205*'Pasture Insurance'!$D$17))*'Pasture Insurance'!$D$8)</f>
        <v>19105.2</v>
      </c>
      <c r="E205" s="253">
        <f>IF(('Pasture Insurance'!$G$21-(C205*'Pasture Insurance'!$H$17))*'Pasture Insurance'!$D$8&lt;0,0,('Pasture Insurance'!$G$21-(C205*'Pasture Insurance'!$H$17))*'Pasture Insurance'!$D$8)</f>
        <v>6577.2</v>
      </c>
    </row>
    <row r="206" spans="3:5" x14ac:dyDescent="0.25">
      <c r="C206" s="222">
        <f t="shared" si="4"/>
        <v>50</v>
      </c>
      <c r="D206" s="253">
        <f>IF(('Pasture Insurance'!$C$21-(C206*'Pasture Insurance'!$D$17))*'Pasture Insurance'!$D$8&lt;0,0,('Pasture Insurance'!$C$21-(C206*'Pasture Insurance'!$D$17))*'Pasture Insurance'!$D$8)</f>
        <v>19379.7</v>
      </c>
      <c r="E206" s="253">
        <f>IF(('Pasture Insurance'!$G$21-(C206*'Pasture Insurance'!$H$17))*'Pasture Insurance'!$D$8&lt;0,0,('Pasture Insurance'!$G$21-(C206*'Pasture Insurance'!$H$17))*'Pasture Insurance'!$D$8)</f>
        <v>6671.7</v>
      </c>
    </row>
    <row r="207" spans="3:5" x14ac:dyDescent="0.25">
      <c r="C207" s="222">
        <f t="shared" si="4"/>
        <v>49</v>
      </c>
      <c r="D207" s="253">
        <f>IF(('Pasture Insurance'!$C$21-(C207*'Pasture Insurance'!$D$17))*'Pasture Insurance'!$D$8&lt;0,0,('Pasture Insurance'!$C$21-(C207*'Pasture Insurance'!$D$17))*'Pasture Insurance'!$D$8)</f>
        <v>19654.2</v>
      </c>
      <c r="E207" s="253">
        <f>IF(('Pasture Insurance'!$G$21-(C207*'Pasture Insurance'!$H$17))*'Pasture Insurance'!$D$8&lt;0,0,('Pasture Insurance'!$G$21-(C207*'Pasture Insurance'!$H$17))*'Pasture Insurance'!$D$8)</f>
        <v>6766.2</v>
      </c>
    </row>
    <row r="208" spans="3:5" x14ac:dyDescent="0.25">
      <c r="C208" s="222">
        <f t="shared" si="4"/>
        <v>48</v>
      </c>
      <c r="D208" s="253">
        <f>IF(('Pasture Insurance'!$C$21-(C208*'Pasture Insurance'!$D$17))*'Pasture Insurance'!$D$8&lt;0,0,('Pasture Insurance'!$C$21-(C208*'Pasture Insurance'!$D$17))*'Pasture Insurance'!$D$8)</f>
        <v>19928.7</v>
      </c>
      <c r="E208" s="253">
        <f>IF(('Pasture Insurance'!$G$21-(C208*'Pasture Insurance'!$H$17))*'Pasture Insurance'!$D$8&lt;0,0,('Pasture Insurance'!$G$21-(C208*'Pasture Insurance'!$H$17))*'Pasture Insurance'!$D$8)</f>
        <v>6860.7</v>
      </c>
    </row>
    <row r="209" spans="3:5" x14ac:dyDescent="0.25">
      <c r="C209" s="222">
        <f t="shared" si="4"/>
        <v>47</v>
      </c>
      <c r="D209" s="253">
        <f>IF(('Pasture Insurance'!$C$21-(C209*'Pasture Insurance'!$D$17))*'Pasture Insurance'!$D$8&lt;0,0,('Pasture Insurance'!$C$21-(C209*'Pasture Insurance'!$D$17))*'Pasture Insurance'!$D$8)</f>
        <v>20203.2</v>
      </c>
      <c r="E209" s="253">
        <f>IF(('Pasture Insurance'!$G$21-(C209*'Pasture Insurance'!$H$17))*'Pasture Insurance'!$D$8&lt;0,0,('Pasture Insurance'!$G$21-(C209*'Pasture Insurance'!$H$17))*'Pasture Insurance'!$D$8)</f>
        <v>6955.2</v>
      </c>
    </row>
    <row r="210" spans="3:5" x14ac:dyDescent="0.25">
      <c r="C210" s="222">
        <f t="shared" si="4"/>
        <v>46</v>
      </c>
      <c r="D210" s="253">
        <f>IF(('Pasture Insurance'!$C$21-(C210*'Pasture Insurance'!$D$17))*'Pasture Insurance'!$D$8&lt;0,0,('Pasture Insurance'!$C$21-(C210*'Pasture Insurance'!$D$17))*'Pasture Insurance'!$D$8)</f>
        <v>20477.7</v>
      </c>
      <c r="E210" s="253">
        <f>IF(('Pasture Insurance'!$G$21-(C210*'Pasture Insurance'!$H$17))*'Pasture Insurance'!$D$8&lt;0,0,('Pasture Insurance'!$G$21-(C210*'Pasture Insurance'!$H$17))*'Pasture Insurance'!$D$8)</f>
        <v>7049.7</v>
      </c>
    </row>
    <row r="211" spans="3:5" x14ac:dyDescent="0.25">
      <c r="C211" s="222">
        <f t="shared" si="4"/>
        <v>45</v>
      </c>
      <c r="D211" s="253">
        <f>IF(('Pasture Insurance'!$C$21-(C211*'Pasture Insurance'!$D$17))*'Pasture Insurance'!$D$8&lt;0,0,('Pasture Insurance'!$C$21-(C211*'Pasture Insurance'!$D$17))*'Pasture Insurance'!$D$8)</f>
        <v>20752.2</v>
      </c>
      <c r="E211" s="253">
        <f>IF(('Pasture Insurance'!$G$21-(C211*'Pasture Insurance'!$H$17))*'Pasture Insurance'!$D$8&lt;0,0,('Pasture Insurance'!$G$21-(C211*'Pasture Insurance'!$H$17))*'Pasture Insurance'!$D$8)</f>
        <v>7144.2</v>
      </c>
    </row>
    <row r="212" spans="3:5" x14ac:dyDescent="0.25">
      <c r="C212" s="222">
        <f t="shared" si="4"/>
        <v>44</v>
      </c>
      <c r="D212" s="253">
        <f>IF(('Pasture Insurance'!$C$21-(C212*'Pasture Insurance'!$D$17))*'Pasture Insurance'!$D$8&lt;0,0,('Pasture Insurance'!$C$21-(C212*'Pasture Insurance'!$D$17))*'Pasture Insurance'!$D$8)</f>
        <v>21026.7</v>
      </c>
      <c r="E212" s="253">
        <f>IF(('Pasture Insurance'!$G$21-(C212*'Pasture Insurance'!$H$17))*'Pasture Insurance'!$D$8&lt;0,0,('Pasture Insurance'!$G$21-(C212*'Pasture Insurance'!$H$17))*'Pasture Insurance'!$D$8)</f>
        <v>7238.7</v>
      </c>
    </row>
    <row r="213" spans="3:5" x14ac:dyDescent="0.25">
      <c r="C213" s="222">
        <f t="shared" si="4"/>
        <v>43</v>
      </c>
      <c r="D213" s="253">
        <f>IF(('Pasture Insurance'!$C$21-(C213*'Pasture Insurance'!$D$17))*'Pasture Insurance'!$D$8&lt;0,0,('Pasture Insurance'!$C$21-(C213*'Pasture Insurance'!$D$17))*'Pasture Insurance'!$D$8)</f>
        <v>21301.200000000001</v>
      </c>
      <c r="E213" s="253">
        <f>IF(('Pasture Insurance'!$G$21-(C213*'Pasture Insurance'!$H$17))*'Pasture Insurance'!$D$8&lt;0,0,('Pasture Insurance'!$G$21-(C213*'Pasture Insurance'!$H$17))*'Pasture Insurance'!$D$8)</f>
        <v>7333.2</v>
      </c>
    </row>
    <row r="214" spans="3:5" x14ac:dyDescent="0.25">
      <c r="C214" s="222">
        <f t="shared" si="4"/>
        <v>42</v>
      </c>
      <c r="D214" s="253">
        <f>IF(('Pasture Insurance'!$C$21-(C214*'Pasture Insurance'!$D$17))*'Pasture Insurance'!$D$8&lt;0,0,('Pasture Insurance'!$C$21-(C214*'Pasture Insurance'!$D$17))*'Pasture Insurance'!$D$8)</f>
        <v>21575.7</v>
      </c>
      <c r="E214" s="253">
        <f>IF(('Pasture Insurance'!$G$21-(C214*'Pasture Insurance'!$H$17))*'Pasture Insurance'!$D$8&lt;0,0,('Pasture Insurance'!$G$21-(C214*'Pasture Insurance'!$H$17))*'Pasture Insurance'!$D$8)</f>
        <v>7427.7</v>
      </c>
    </row>
    <row r="215" spans="3:5" x14ac:dyDescent="0.25">
      <c r="C215" s="222">
        <f t="shared" si="4"/>
        <v>41</v>
      </c>
      <c r="D215" s="253">
        <f>IF(('Pasture Insurance'!$C$21-(C215*'Pasture Insurance'!$D$17))*'Pasture Insurance'!$D$8&lt;0,0,('Pasture Insurance'!$C$21-(C215*'Pasture Insurance'!$D$17))*'Pasture Insurance'!$D$8)</f>
        <v>21850.2</v>
      </c>
      <c r="E215" s="253">
        <f>IF(('Pasture Insurance'!$G$21-(C215*'Pasture Insurance'!$H$17))*'Pasture Insurance'!$D$8&lt;0,0,('Pasture Insurance'!$G$21-(C215*'Pasture Insurance'!$H$17))*'Pasture Insurance'!$D$8)</f>
        <v>7522.2</v>
      </c>
    </row>
    <row r="216" spans="3:5" x14ac:dyDescent="0.25">
      <c r="C216" s="222">
        <f t="shared" si="4"/>
        <v>40</v>
      </c>
      <c r="D216" s="253">
        <f>IF(('Pasture Insurance'!$C$21-(C216*'Pasture Insurance'!$D$17))*'Pasture Insurance'!$D$8&lt;0,0,('Pasture Insurance'!$C$21-(C216*'Pasture Insurance'!$D$17))*'Pasture Insurance'!$D$8)</f>
        <v>22124.7</v>
      </c>
      <c r="E216" s="253">
        <f>IF(('Pasture Insurance'!$G$21-(C216*'Pasture Insurance'!$H$17))*'Pasture Insurance'!$D$8&lt;0,0,('Pasture Insurance'!$G$21-(C216*'Pasture Insurance'!$H$17))*'Pasture Insurance'!$D$8)</f>
        <v>7616.7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8"/>
  <sheetViews>
    <sheetView zoomScale="110" zoomScaleNormal="110" workbookViewId="0">
      <selection sqref="A1:K1"/>
    </sheetView>
  </sheetViews>
  <sheetFormatPr defaultRowHeight="12.5" x14ac:dyDescent="0.25"/>
  <cols>
    <col min="1" max="1" width="4.453125" customWidth="1"/>
    <col min="2" max="2" width="30.54296875" customWidth="1"/>
    <col min="3" max="3" width="9.6328125" customWidth="1"/>
    <col min="4" max="4" width="10.6328125" customWidth="1"/>
    <col min="5" max="7" width="9.6328125" customWidth="1"/>
    <col min="8" max="8" width="10.6328125" customWidth="1"/>
    <col min="9" max="9" width="9.6328125" customWidth="1"/>
    <col min="10" max="10" width="5.08984375" customWidth="1"/>
    <col min="11" max="11" width="14.54296875" customWidth="1"/>
  </cols>
  <sheetData>
    <row r="1" spans="1:11" s="35" customFormat="1" ht="18" customHeight="1" x14ac:dyDescent="0.4">
      <c r="A1" s="309" t="str">
        <f>"Pasture Production Cost Summary - "&amp;Introduction!J13</f>
        <v>Pasture Production Cost Summary - 2025</v>
      </c>
      <c r="B1" s="309"/>
      <c r="C1" s="309"/>
      <c r="D1" s="309"/>
      <c r="E1" s="309"/>
      <c r="F1" s="309"/>
      <c r="G1" s="309"/>
      <c r="H1" s="309"/>
      <c r="I1" s="309"/>
      <c r="J1" s="309"/>
      <c r="K1" s="309"/>
    </row>
    <row r="2" spans="1:11" ht="7.5" customHeight="1" x14ac:dyDescent="0.35">
      <c r="A2" s="1"/>
      <c r="B2" s="1"/>
      <c r="C2" s="1"/>
      <c r="D2" s="1"/>
      <c r="E2" s="1"/>
      <c r="F2" s="1"/>
      <c r="G2" s="1"/>
      <c r="H2" s="1"/>
      <c r="I2" s="1"/>
      <c r="J2" s="1"/>
      <c r="K2" s="1"/>
    </row>
    <row r="3" spans="1:11" ht="18" customHeight="1" thickBot="1" x14ac:dyDescent="0.4">
      <c r="A3" s="1"/>
      <c r="B3" s="1"/>
      <c r="C3" s="310" t="s">
        <v>105</v>
      </c>
      <c r="D3" s="310"/>
      <c r="E3" s="310"/>
      <c r="F3" s="1"/>
      <c r="G3" s="310" t="s">
        <v>106</v>
      </c>
      <c r="H3" s="310"/>
      <c r="I3" s="310"/>
      <c r="J3" s="1"/>
      <c r="K3" s="1"/>
    </row>
    <row r="4" spans="1:11" ht="18" customHeight="1" x14ac:dyDescent="0.35">
      <c r="A4" s="1"/>
      <c r="B4" s="1"/>
      <c r="C4" s="107">
        <f>Input!E4</f>
        <v>160</v>
      </c>
      <c r="D4" s="108" t="str">
        <f>Input!F4</f>
        <v xml:space="preserve"> acres</v>
      </c>
      <c r="E4" s="17"/>
      <c r="F4" s="1"/>
      <c r="G4" s="107">
        <f>Input!H4</f>
        <v>160</v>
      </c>
      <c r="H4" s="108" t="str">
        <f>Input!I4</f>
        <v xml:space="preserve"> acres</v>
      </c>
      <c r="I4" s="17"/>
      <c r="J4" s="1"/>
      <c r="K4" s="1"/>
    </row>
    <row r="5" spans="1:11" ht="18" customHeight="1" x14ac:dyDescent="0.35">
      <c r="A5" s="1"/>
      <c r="B5" s="1"/>
      <c r="C5" s="107"/>
      <c r="E5" s="107" t="str">
        <f>Input!E8&amp;" "&amp;Input!F8&amp;" ("&amp;Input!E10&amp;" ac/hd) @ "&amp;Input!E12&amp;"lbs"</f>
        <v>94 head (1.7 ac/hd) @ 1350lbs</v>
      </c>
      <c r="F5" s="1"/>
      <c r="G5" s="107"/>
      <c r="H5" s="108"/>
      <c r="I5" s="107" t="str">
        <f>Input!H8&amp;" "&amp;Input!I8&amp;" ("&amp;Input!H10&amp;" ac/hd) @ "&amp;Input!H12&amp;"lbs"</f>
        <v>32 head (5 ac/hd) @ 1350lbs</v>
      </c>
      <c r="J5" s="1"/>
      <c r="K5" s="1"/>
    </row>
    <row r="6" spans="1:11" ht="18" customHeight="1" x14ac:dyDescent="0.35">
      <c r="A6" s="1"/>
      <c r="B6" s="1"/>
      <c r="C6" s="107">
        <f>Input!E15</f>
        <v>135</v>
      </c>
      <c r="D6" s="108" t="s">
        <v>191</v>
      </c>
      <c r="E6" s="17"/>
      <c r="F6" s="1"/>
      <c r="G6" s="107">
        <f>Input!H15</f>
        <v>135</v>
      </c>
      <c r="H6" s="108" t="s">
        <v>191</v>
      </c>
      <c r="I6" s="17"/>
      <c r="J6" s="1"/>
      <c r="K6" s="1"/>
    </row>
    <row r="7" spans="1:11" ht="18" customHeight="1" x14ac:dyDescent="0.35">
      <c r="A7" s="1" t="s">
        <v>227</v>
      </c>
      <c r="C7" s="17"/>
      <c r="D7" s="160">
        <f>Input!E19</f>
        <v>529</v>
      </c>
      <c r="E7" s="17"/>
      <c r="F7" s="1"/>
      <c r="G7" s="17"/>
      <c r="H7" s="160">
        <f>Input!H19</f>
        <v>180</v>
      </c>
      <c r="I7" s="17"/>
      <c r="J7" s="1"/>
      <c r="K7" s="1"/>
    </row>
    <row r="8" spans="1:11" ht="18" customHeight="1" x14ac:dyDescent="0.35">
      <c r="A8" s="1" t="s">
        <v>236</v>
      </c>
      <c r="C8" s="17"/>
      <c r="D8" s="109">
        <f>Input!E20</f>
        <v>3.31</v>
      </c>
      <c r="E8" s="17"/>
      <c r="F8" s="1"/>
      <c r="G8" s="17"/>
      <c r="H8" s="109">
        <f>Input!H20</f>
        <v>1.1299999999999999</v>
      </c>
      <c r="I8" s="17"/>
      <c r="J8" s="1"/>
      <c r="K8" s="1"/>
    </row>
    <row r="9" spans="1:11" ht="16.5" customHeight="1" x14ac:dyDescent="0.35">
      <c r="A9" s="1"/>
      <c r="B9" s="1"/>
      <c r="C9" s="17"/>
      <c r="D9" s="109"/>
      <c r="E9" s="17"/>
      <c r="F9" s="1"/>
      <c r="G9" s="17"/>
      <c r="H9" s="109"/>
      <c r="I9" s="17"/>
      <c r="J9" s="1"/>
      <c r="K9" s="1"/>
    </row>
    <row r="10" spans="1:11" ht="16.5" customHeight="1" x14ac:dyDescent="0.35">
      <c r="A10" s="1"/>
      <c r="B10" s="1"/>
      <c r="C10" s="60"/>
      <c r="D10" s="28"/>
      <c r="E10" s="171" t="str">
        <f>TEXT('Fixed Cost Input'!E6,"$#,###")&amp;"/acre = "&amp;TEXT('Fixed Cost Input'!F6,"$#,###")&amp;" Total Cost"</f>
        <v>$1,875/acre = $300,000 Total Cost</v>
      </c>
      <c r="F10" s="1"/>
      <c r="G10" s="60"/>
      <c r="H10" s="28"/>
      <c r="I10" s="60"/>
      <c r="J10" s="171" t="str">
        <f>TEXT('Fixed Cost Input'!I6,"$#,###")&amp;"/acre = "&amp;TEXT('Fixed Cost Input'!J6,"$#,###")&amp;" Total Cost"</f>
        <v>$844/acre = $135,000 Total Cost</v>
      </c>
      <c r="K10" s="1"/>
    </row>
    <row r="11" spans="1:11" ht="15" customHeight="1" x14ac:dyDescent="0.35">
      <c r="A11" s="1"/>
      <c r="B11" s="307" t="str">
        <f>"("&amp;TEXT('Fixed Cost Input'!F6*'Fixed Cost Input'!E9,"$#,###")&amp;" loan @ "&amp;'Fixed Cost Input'!D13*100&amp;"%, "&amp;'Fixed Cost Input'!E13&amp;" years = $"&amp;TEXT('Fixed Cost Input'!F14,"#,###")&amp;" annual pmt)"</f>
        <v>($75,000 loan @ 6%, 25 years = $5,867 annual pmt)</v>
      </c>
      <c r="C11" s="307"/>
      <c r="D11" s="307"/>
      <c r="E11" s="307"/>
      <c r="F11" s="308" t="str">
        <f>"("&amp;TEXT('Fixed Cost Input'!J6*'Fixed Cost Input'!I9,"$#,###")&amp;" loan @ "&amp;'Fixed Cost Input'!H13*100&amp;"%, "&amp;'Fixed Cost Input'!I13&amp;" years = $"&amp;TEXT('Fixed Cost Input'!J14,"#,###")&amp;" annual pmt)"</f>
        <v>($33,750 loan @ 6%, 25 years = $2,640 annual pmt)</v>
      </c>
      <c r="G11" s="308"/>
      <c r="H11" s="308"/>
      <c r="I11" s="308"/>
      <c r="J11" s="308"/>
      <c r="K11" s="308"/>
    </row>
    <row r="12" spans="1:11" ht="18" customHeight="1" x14ac:dyDescent="0.35">
      <c r="A12" s="1"/>
      <c r="B12" s="1"/>
      <c r="C12" s="17"/>
      <c r="D12" s="17"/>
      <c r="E12" s="17"/>
      <c r="F12" s="1"/>
      <c r="G12" s="17"/>
      <c r="H12" s="17"/>
      <c r="I12" s="17"/>
      <c r="J12" s="1"/>
      <c r="K12" s="1"/>
    </row>
    <row r="13" spans="1:11" ht="18" customHeight="1" x14ac:dyDescent="0.35">
      <c r="A13" s="1"/>
      <c r="B13" s="1"/>
      <c r="C13" s="1"/>
      <c r="D13" s="17" t="s">
        <v>27</v>
      </c>
      <c r="E13" s="17" t="s">
        <v>28</v>
      </c>
      <c r="F13" s="17"/>
      <c r="G13" s="1"/>
      <c r="H13" s="17" t="s">
        <v>27</v>
      </c>
      <c r="I13" s="17" t="s">
        <v>28</v>
      </c>
      <c r="J13" s="17"/>
    </row>
    <row r="14" spans="1:11" ht="15.5" x14ac:dyDescent="0.35">
      <c r="A14" s="3" t="s">
        <v>8</v>
      </c>
      <c r="B14" s="1"/>
      <c r="C14" s="15" t="s">
        <v>2</v>
      </c>
      <c r="D14" s="15" t="s">
        <v>26</v>
      </c>
      <c r="E14" s="15" t="s">
        <v>26</v>
      </c>
      <c r="F14" s="15"/>
      <c r="G14" s="15" t="s">
        <v>2</v>
      </c>
      <c r="H14" s="15" t="s">
        <v>26</v>
      </c>
      <c r="I14" s="15" t="s">
        <v>26</v>
      </c>
      <c r="J14" s="15"/>
      <c r="K14" s="15" t="s">
        <v>14</v>
      </c>
    </row>
    <row r="15" spans="1:11" ht="16" thickBot="1" x14ac:dyDescent="0.4">
      <c r="A15" s="1"/>
      <c r="B15" s="1" t="s">
        <v>192</v>
      </c>
      <c r="C15" s="53">
        <f>(Input!F39+Input!I48+Input!I49+Input!L68+IF(Input!L68&gt;0,Input!E74,0)+Input!D83+IF(Input!D83&gt;0,Input!E86,0)-Input!I115)/Input!E41</f>
        <v>21.572427194643488</v>
      </c>
      <c r="D15" s="54">
        <f>ROUND(C15/Input!$E$9,2)</f>
        <v>36.56</v>
      </c>
      <c r="E15" s="53">
        <f>ROUND(D15/Input!$E$15,2)</f>
        <v>0.27</v>
      </c>
      <c r="F15" s="53"/>
      <c r="G15" s="53">
        <f>(Input!J39+Input!I50+Input!L69+IF(Input!L69&gt;0,Input!E74,0)+Input!D84+IF(Input!D84&gt;0,Input!E86,0))/Input!H41</f>
        <v>0</v>
      </c>
      <c r="H15" s="54">
        <f>G15/Input!$H$9</f>
        <v>0</v>
      </c>
      <c r="I15" s="53">
        <f>H15/Input!$H$15</f>
        <v>0</v>
      </c>
      <c r="J15" s="53"/>
      <c r="K15" s="110"/>
    </row>
    <row r="16" spans="1:11" ht="16" thickBot="1" x14ac:dyDescent="0.4">
      <c r="A16" s="1"/>
      <c r="B16" s="1" t="s">
        <v>196</v>
      </c>
      <c r="C16" s="53">
        <f>Input!L67*(Input!E71/Input!E4)</f>
        <v>22.186810976259125</v>
      </c>
      <c r="D16" s="54">
        <f>ROUND(C16/Input!$E$9,2)</f>
        <v>37.6</v>
      </c>
      <c r="E16" s="53">
        <f>ROUND(D16/Input!$E$15,2)</f>
        <v>0.28000000000000003</v>
      </c>
      <c r="F16" s="53"/>
      <c r="G16" s="53">
        <f>Input!L69*(Input!E72/Input!H4)</f>
        <v>0</v>
      </c>
      <c r="H16" s="54">
        <f>G16/Input!$H$9</f>
        <v>0</v>
      </c>
      <c r="I16" s="53">
        <f>H16/Input!$H$15</f>
        <v>0</v>
      </c>
      <c r="J16" s="53"/>
      <c r="K16" s="110"/>
    </row>
    <row r="17" spans="1:11" ht="16" thickBot="1" x14ac:dyDescent="0.4">
      <c r="A17" s="1"/>
      <c r="B17" s="1" t="s">
        <v>193</v>
      </c>
      <c r="C17" s="53">
        <f>Input!H82+IF(Input!D82&gt;0,Input!E86,0)+Input!D82</f>
        <v>1</v>
      </c>
      <c r="D17" s="54">
        <f>ROUND(C17/Input!$E$9,2)</f>
        <v>1.69</v>
      </c>
      <c r="E17" s="53">
        <f>ROUND(D17/Input!$E$15,2)</f>
        <v>0.01</v>
      </c>
      <c r="F17" s="53"/>
      <c r="G17" s="53">
        <f>Input!H84+IF(Input!D84&gt;0,Input!E86,0)+Input!D84</f>
        <v>1</v>
      </c>
      <c r="H17" s="54">
        <f>G17/Input!$H$9</f>
        <v>5</v>
      </c>
      <c r="I17" s="53">
        <f>H17/Input!$H$15</f>
        <v>3.7037037037037035E-2</v>
      </c>
      <c r="J17" s="53"/>
      <c r="K17" s="110"/>
    </row>
    <row r="18" spans="1:11" ht="16" thickBot="1" x14ac:dyDescent="0.4">
      <c r="A18" s="1"/>
      <c r="B18" s="1" t="s">
        <v>174</v>
      </c>
      <c r="C18" s="53">
        <f>Input!E97</f>
        <v>2.4596</v>
      </c>
      <c r="D18" s="54">
        <f>ROUND(C18/Input!$E$9,2)</f>
        <v>4.17</v>
      </c>
      <c r="E18" s="53">
        <f>ROUND(D18/Input!$E$15,2)</f>
        <v>0.03</v>
      </c>
      <c r="F18" s="53"/>
      <c r="G18" s="53">
        <f>Input!I97</f>
        <v>1.8588499999999999</v>
      </c>
      <c r="H18" s="54">
        <f>G18/Input!$H$9</f>
        <v>9.2942499999999981</v>
      </c>
      <c r="I18" s="53">
        <f>H18/Input!$H$15</f>
        <v>6.884629629629628E-2</v>
      </c>
      <c r="J18" s="53"/>
      <c r="K18" s="110"/>
    </row>
    <row r="19" spans="1:11" ht="16" thickBot="1" x14ac:dyDescent="0.4">
      <c r="A19" s="1"/>
      <c r="B19" s="1" t="s">
        <v>199</v>
      </c>
      <c r="C19" s="53">
        <f>Input!E98</f>
        <v>0.5</v>
      </c>
      <c r="D19" s="54">
        <f>ROUND(C19/Input!$E$9,2)</f>
        <v>0.85</v>
      </c>
      <c r="E19" s="53">
        <f>ROUND(D19/Input!$E$15,2)</f>
        <v>0.01</v>
      </c>
      <c r="F19" s="53"/>
      <c r="G19" s="53">
        <f>Input!I98</f>
        <v>0.5</v>
      </c>
      <c r="H19" s="54">
        <f>G19/Input!$H$9</f>
        <v>2.5</v>
      </c>
      <c r="I19" s="53">
        <f>H19/Input!$H$15</f>
        <v>1.8518518518518517E-2</v>
      </c>
      <c r="J19" s="53"/>
      <c r="K19" s="110"/>
    </row>
    <row r="20" spans="1:11" ht="16" thickBot="1" x14ac:dyDescent="0.4">
      <c r="A20" s="1"/>
      <c r="B20" s="1" t="s">
        <v>326</v>
      </c>
      <c r="C20" s="53">
        <f>'Pasture Insurance'!C30</f>
        <v>3.8898022500000011</v>
      </c>
      <c r="D20" s="54">
        <f>'Pasture Insurance'!C31</f>
        <v>6.6209400000000018</v>
      </c>
      <c r="E20" s="53">
        <f>'Pasture Insurance'!C32</f>
        <v>4.9410000000000016E-2</v>
      </c>
      <c r="F20" s="53"/>
      <c r="G20" s="53">
        <f>'Pasture Insurance'!G30</f>
        <v>1.3391122499999999</v>
      </c>
      <c r="H20" s="54">
        <f>'Pasture Insurance'!G31</f>
        <v>6.695561249999999</v>
      </c>
      <c r="I20" s="53">
        <f>'Pasture Insurance'!G32</f>
        <v>4.9966874999999994E-2</v>
      </c>
      <c r="J20" s="53"/>
      <c r="K20" s="110"/>
    </row>
    <row r="21" spans="1:11" ht="16" thickBot="1" x14ac:dyDescent="0.4">
      <c r="A21" s="1"/>
      <c r="B21" s="1" t="s">
        <v>194</v>
      </c>
      <c r="C21" s="53">
        <f>Input!E100</f>
        <v>10</v>
      </c>
      <c r="D21" s="54">
        <f>ROUND(C21/Input!$E$9,2)</f>
        <v>16.95</v>
      </c>
      <c r="E21" s="53">
        <f>ROUND(D21/Input!$E$15,2)</f>
        <v>0.13</v>
      </c>
      <c r="F21" s="53"/>
      <c r="G21" s="53">
        <f>Input!I100</f>
        <v>6</v>
      </c>
      <c r="H21" s="54">
        <f>G21/Input!$H$9</f>
        <v>30</v>
      </c>
      <c r="I21" s="53">
        <f>H21/Input!$H$15</f>
        <v>0.22222222222222221</v>
      </c>
      <c r="J21" s="53"/>
      <c r="K21" s="110"/>
    </row>
    <row r="22" spans="1:11" ht="16" thickBot="1" x14ac:dyDescent="0.4">
      <c r="A22" s="1"/>
      <c r="B22" s="10" t="s">
        <v>172</v>
      </c>
      <c r="C22" s="55">
        <f>Input!E101</f>
        <v>0</v>
      </c>
      <c r="D22" s="56">
        <f>ROUND(C22/Input!$E$9,2)</f>
        <v>0</v>
      </c>
      <c r="E22" s="55">
        <f>ROUND(D22/Input!$E$15,2)</f>
        <v>0</v>
      </c>
      <c r="F22" s="55"/>
      <c r="G22" s="55">
        <f>Input!I101</f>
        <v>0</v>
      </c>
      <c r="H22" s="56">
        <f>G22/Input!$H$9</f>
        <v>0</v>
      </c>
      <c r="I22" s="55">
        <f>H22/Input!$H$15</f>
        <v>0</v>
      </c>
      <c r="J22" s="55"/>
      <c r="K22" s="110"/>
    </row>
    <row r="23" spans="1:11" ht="16" thickBot="1" x14ac:dyDescent="0.4">
      <c r="A23" s="1"/>
      <c r="B23" s="1" t="s">
        <v>197</v>
      </c>
      <c r="C23" s="53">
        <f>SUM(C15:C22)</f>
        <v>61.608640420902617</v>
      </c>
      <c r="D23" s="53">
        <f>SUM(D15:D22)</f>
        <v>104.44094</v>
      </c>
      <c r="E23" s="53">
        <f>SUM(E15:E22)</f>
        <v>0.77941000000000016</v>
      </c>
      <c r="F23" s="54"/>
      <c r="G23" s="53">
        <f>SUM(G15:G22)</f>
        <v>10.69796225</v>
      </c>
      <c r="H23" s="53">
        <f>SUM(H15:H22)</f>
        <v>53.489811249999995</v>
      </c>
      <c r="I23" s="53">
        <f>SUM(I15:I22)</f>
        <v>0.39659094907407405</v>
      </c>
      <c r="J23" s="54"/>
      <c r="K23" s="110"/>
    </row>
    <row r="24" spans="1:11" ht="16" thickBot="1" x14ac:dyDescent="0.4">
      <c r="A24" s="1"/>
      <c r="B24" s="1" t="s">
        <v>19</v>
      </c>
      <c r="C24" s="55">
        <f>(C23/2)*(Input!E103/100)</f>
        <v>2.7723888189406178</v>
      </c>
      <c r="D24" s="56">
        <f>ROUND(C24/Input!$E$9,2)</f>
        <v>4.7</v>
      </c>
      <c r="E24" s="55">
        <f>ROUND(D24/Input!$E$15,2)</f>
        <v>0.03</v>
      </c>
      <c r="F24" s="55"/>
      <c r="G24" s="55">
        <f>(G23/2)*(Input!E103/100)</f>
        <v>0.48140830124999995</v>
      </c>
      <c r="H24" s="56">
        <f>G24/Input!$H$9</f>
        <v>2.4070415062499997</v>
      </c>
      <c r="I24" s="55">
        <f>H24/Input!$H$15</f>
        <v>1.782993708333333E-2</v>
      </c>
      <c r="J24" s="55"/>
      <c r="K24" s="111"/>
    </row>
    <row r="25" spans="1:11" ht="16" thickBot="1" x14ac:dyDescent="0.4">
      <c r="A25" s="1"/>
      <c r="B25" s="3" t="s">
        <v>104</v>
      </c>
      <c r="C25" s="11">
        <f>C23+C24</f>
        <v>64.38102923984323</v>
      </c>
      <c r="D25" s="57">
        <f>C25/Input!$E$9</f>
        <v>109.12038854210718</v>
      </c>
      <c r="E25" s="11">
        <f>E23+E24</f>
        <v>0.80941000000000018</v>
      </c>
      <c r="F25" s="57"/>
      <c r="G25" s="11">
        <f>G23+G24</f>
        <v>11.179370551249999</v>
      </c>
      <c r="H25" s="57">
        <f>H23+H24</f>
        <v>55.896852756249999</v>
      </c>
      <c r="I25" s="11">
        <f>I23+I24</f>
        <v>0.41442088615740735</v>
      </c>
      <c r="J25" s="57"/>
      <c r="K25" s="112" t="str">
        <f>IF(SUM(K15:K24)=0,"",SUM(K15:K24))</f>
        <v/>
      </c>
    </row>
    <row r="26" spans="1:11" ht="15.5" x14ac:dyDescent="0.35">
      <c r="A26" s="1"/>
      <c r="B26" s="3"/>
      <c r="C26" s="11"/>
      <c r="D26" s="54"/>
      <c r="E26" s="1"/>
      <c r="F26" s="1"/>
      <c r="G26" s="11"/>
      <c r="H26" s="54"/>
      <c r="I26" s="1"/>
      <c r="J26" s="1"/>
      <c r="K26" s="1"/>
    </row>
    <row r="27" spans="1:11" ht="15.5" x14ac:dyDescent="0.35">
      <c r="A27" s="3" t="s">
        <v>9</v>
      </c>
      <c r="B27" s="1"/>
      <c r="C27" s="53"/>
      <c r="D27" s="54"/>
      <c r="E27" s="1"/>
      <c r="F27" s="1"/>
      <c r="G27" s="53"/>
      <c r="H27" s="54"/>
      <c r="I27" s="1"/>
      <c r="J27" s="1"/>
      <c r="K27" s="1"/>
    </row>
    <row r="28" spans="1:11" ht="15.5" x14ac:dyDescent="0.35">
      <c r="A28" s="1"/>
      <c r="B28" s="3" t="s">
        <v>10</v>
      </c>
      <c r="C28" s="53"/>
      <c r="D28" s="54"/>
      <c r="E28" s="1"/>
      <c r="F28" s="1"/>
      <c r="G28" s="53"/>
      <c r="H28" s="54"/>
      <c r="I28" s="1"/>
      <c r="J28" s="1"/>
      <c r="K28" s="1"/>
    </row>
    <row r="29" spans="1:11" ht="16" thickBot="1" x14ac:dyDescent="0.4">
      <c r="A29" s="1"/>
      <c r="B29" s="1" t="s">
        <v>1</v>
      </c>
      <c r="C29" s="53">
        <f>'Fixed Cost Input'!E16</f>
        <v>36.66877416200343</v>
      </c>
      <c r="D29" s="54">
        <f>ROUND(C29/Input!$E$9,2)</f>
        <v>62.15</v>
      </c>
      <c r="E29" s="53">
        <f>ROUND(D29/Input!$E$15,2)</f>
        <v>0.46</v>
      </c>
      <c r="F29" s="53"/>
      <c r="G29" s="53">
        <f>'Fixed Cost Input'!I16</f>
        <v>16.500948372901544</v>
      </c>
      <c r="H29" s="54">
        <f>ROUND(G29/Input!$H9,2)</f>
        <v>82.5</v>
      </c>
      <c r="I29" s="53">
        <f>ROUND(H29/Input!$H$15,2)</f>
        <v>0.61</v>
      </c>
      <c r="J29" s="53"/>
      <c r="K29" s="110"/>
    </row>
    <row r="30" spans="1:11" ht="16" thickBot="1" x14ac:dyDescent="0.4">
      <c r="A30" s="1"/>
      <c r="B30" s="1" t="s">
        <v>42</v>
      </c>
      <c r="C30" s="53">
        <f>'Fixed Cost Input'!E35</f>
        <v>2.1622499999999998</v>
      </c>
      <c r="D30" s="54">
        <f>ROUND(C30/Input!$E$9,2)</f>
        <v>3.66</v>
      </c>
      <c r="E30" s="53">
        <f>ROUND(D30/Input!$E$15,2)</f>
        <v>0.03</v>
      </c>
      <c r="F30" s="53"/>
      <c r="G30" s="53">
        <f>'Fixed Cost Input'!I35</f>
        <v>1.7868124999999999</v>
      </c>
      <c r="H30" s="54">
        <f>G30/Input!$H$9</f>
        <v>8.9340624999999996</v>
      </c>
      <c r="I30" s="53">
        <f>H30/Input!$H$15</f>
        <v>6.6178240740740732E-2</v>
      </c>
      <c r="J30" s="53"/>
      <c r="K30" s="110"/>
    </row>
    <row r="31" spans="1:11" ht="15.5" x14ac:dyDescent="0.35">
      <c r="A31" s="1"/>
      <c r="B31" s="3" t="s">
        <v>11</v>
      </c>
      <c r="C31" s="53"/>
      <c r="D31" s="54"/>
      <c r="E31" s="53"/>
      <c r="F31" s="53"/>
      <c r="G31" s="53"/>
      <c r="H31" s="56"/>
      <c r="I31" s="53"/>
      <c r="J31" s="53"/>
      <c r="K31" s="1"/>
    </row>
    <row r="32" spans="1:11" ht="16" thickBot="1" x14ac:dyDescent="0.4">
      <c r="A32" s="1"/>
      <c r="B32" s="1" t="s">
        <v>43</v>
      </c>
      <c r="C32" s="55">
        <f>'Fixed Cost Input'!E36</f>
        <v>8.6489999999999991</v>
      </c>
      <c r="D32" s="56">
        <f>ROUND(C32/Input!$E$9,2)</f>
        <v>14.66</v>
      </c>
      <c r="E32" s="55">
        <f>ROUND(D32/Input!$E$15,2)</f>
        <v>0.11</v>
      </c>
      <c r="F32" s="55"/>
      <c r="G32" s="55">
        <f>'Fixed Cost Input'!I36</f>
        <v>7.147125</v>
      </c>
      <c r="H32" s="56">
        <f>G32/Input!$H$9</f>
        <v>35.735624999999999</v>
      </c>
      <c r="I32" s="55">
        <f>H32/Input!$H$15</f>
        <v>0.26470833333333332</v>
      </c>
      <c r="J32" s="53"/>
      <c r="K32" s="110"/>
    </row>
    <row r="33" spans="1:11" ht="16" thickBot="1" x14ac:dyDescent="0.4">
      <c r="A33" s="1"/>
      <c r="B33" s="3" t="s">
        <v>15</v>
      </c>
      <c r="C33" s="11">
        <f>SUM(C29:C32)</f>
        <v>47.480024162003431</v>
      </c>
      <c r="D33" s="11">
        <f>SUM(D29:D32)</f>
        <v>80.47</v>
      </c>
      <c r="E33" s="11">
        <f>SUM(E29:E32)</f>
        <v>0.6</v>
      </c>
      <c r="F33" s="11"/>
      <c r="G33" s="11">
        <f>SUM(G29:G32)</f>
        <v>25.434885872901543</v>
      </c>
      <c r="H33" s="11">
        <f>SUM(H29:H32)</f>
        <v>127.16968749999999</v>
      </c>
      <c r="I33" s="11">
        <f>SUM(I29:I32)</f>
        <v>0.94088657407407406</v>
      </c>
      <c r="J33" s="11"/>
      <c r="K33" s="112" t="str">
        <f>IF(SUM(K29:K32)=0,"",SUM(K29:K32))</f>
        <v/>
      </c>
    </row>
    <row r="34" spans="1:11" ht="15.5" x14ac:dyDescent="0.35">
      <c r="A34" s="1"/>
      <c r="B34" s="1"/>
      <c r="C34" s="53"/>
      <c r="D34" s="53"/>
      <c r="E34" s="53"/>
      <c r="F34" s="53"/>
      <c r="G34" s="53"/>
      <c r="H34" s="53"/>
      <c r="I34" s="53"/>
      <c r="J34" s="1"/>
      <c r="K34" s="1"/>
    </row>
    <row r="35" spans="1:11" ht="16" thickBot="1" x14ac:dyDescent="0.4">
      <c r="A35" s="3" t="s">
        <v>0</v>
      </c>
      <c r="B35" s="1"/>
      <c r="C35" s="11">
        <f>C25+C33</f>
        <v>111.86105340184666</v>
      </c>
      <c r="D35" s="11">
        <f>D25+D33</f>
        <v>189.59038854210718</v>
      </c>
      <c r="E35" s="11">
        <f>E25+E33</f>
        <v>1.4094100000000003</v>
      </c>
      <c r="F35" s="11"/>
      <c r="G35" s="11">
        <f>G25+G33</f>
        <v>36.614256424151542</v>
      </c>
      <c r="H35" s="11">
        <f>H25+H33</f>
        <v>183.06654025624999</v>
      </c>
      <c r="I35" s="11">
        <f>I25+I33</f>
        <v>1.3553074602314814</v>
      </c>
      <c r="J35" s="57"/>
      <c r="K35" s="112" t="str">
        <f>IF(OR(K25="",K33=""),"",+K25+K33)</f>
        <v/>
      </c>
    </row>
    <row r="36" spans="1:11" ht="15.5" x14ac:dyDescent="0.35">
      <c r="A36" s="1"/>
      <c r="B36" s="1"/>
      <c r="C36" s="53"/>
      <c r="D36" s="53"/>
      <c r="E36" s="53"/>
      <c r="F36" s="53"/>
      <c r="G36" s="53"/>
      <c r="H36" s="53"/>
      <c r="I36" s="53"/>
      <c r="J36" s="1"/>
      <c r="K36" s="1"/>
    </row>
    <row r="37" spans="1:11" ht="16" thickBot="1" x14ac:dyDescent="0.4">
      <c r="A37" s="3" t="s">
        <v>12</v>
      </c>
      <c r="B37" s="1"/>
      <c r="C37" s="11">
        <f>(Input!E107*Input!E108)/Input!E4</f>
        <v>0</v>
      </c>
      <c r="D37" s="11">
        <f>ROUND(C37/Input!$E$9,2)</f>
        <v>0</v>
      </c>
      <c r="E37" s="11">
        <f>D37/Input!$E$15</f>
        <v>0</v>
      </c>
      <c r="F37" s="11"/>
      <c r="G37" s="11">
        <f>(Input!I107*Input!I108)/Input!H4</f>
        <v>0</v>
      </c>
      <c r="H37" s="53">
        <f>G37/Input!$H$9</f>
        <v>0</v>
      </c>
      <c r="I37" s="53">
        <f>H37/Input!$H$15</f>
        <v>0</v>
      </c>
      <c r="J37" s="57"/>
      <c r="K37" s="110"/>
    </row>
    <row r="38" spans="1:11" ht="15.5" x14ac:dyDescent="0.35">
      <c r="A38" s="1"/>
      <c r="B38" s="1"/>
      <c r="C38" s="53"/>
      <c r="D38" s="53"/>
      <c r="E38" s="53"/>
      <c r="F38" s="53"/>
      <c r="G38" s="53"/>
      <c r="H38" s="53"/>
      <c r="I38" s="53"/>
      <c r="J38" s="1"/>
      <c r="K38" s="1"/>
    </row>
    <row r="39" spans="1:11" ht="16" thickBot="1" x14ac:dyDescent="0.4">
      <c r="A39" s="3" t="s">
        <v>13</v>
      </c>
      <c r="B39" s="1"/>
      <c r="C39" s="11">
        <f>C35+C37</f>
        <v>111.86105340184666</v>
      </c>
      <c r="D39" s="11">
        <f>D35+D37</f>
        <v>189.59038854210718</v>
      </c>
      <c r="E39" s="11">
        <f>E35+E37</f>
        <v>1.4094100000000003</v>
      </c>
      <c r="F39" s="11"/>
      <c r="G39" s="11">
        <f>G35+G37</f>
        <v>36.614256424151542</v>
      </c>
      <c r="H39" s="11">
        <f>H35+H37</f>
        <v>183.06654025624999</v>
      </c>
      <c r="I39" s="11">
        <f>I35+I37</f>
        <v>1.3553074602314814</v>
      </c>
      <c r="J39" s="57"/>
      <c r="K39" s="112" t="str">
        <f>IF(K25="","",SUM(K37+K30+K31+K32+K33+K15+K16+K17+K18+K21+K22+K19+K23+K24))</f>
        <v/>
      </c>
    </row>
    <row r="40" spans="1:11" ht="15.5" x14ac:dyDescent="0.35">
      <c r="A40" s="1"/>
      <c r="B40" s="1"/>
      <c r="C40" s="1"/>
      <c r="D40" s="1"/>
      <c r="E40" s="1"/>
      <c r="F40" s="1"/>
      <c r="G40" s="1"/>
      <c r="H40" s="1"/>
      <c r="I40" s="1"/>
      <c r="J40" s="1"/>
      <c r="K40" s="1"/>
    </row>
    <row r="41" spans="1:11" ht="15.5" x14ac:dyDescent="0.35">
      <c r="A41" s="306" t="s">
        <v>201</v>
      </c>
      <c r="B41" s="306"/>
      <c r="C41" s="306"/>
      <c r="D41" s="306"/>
      <c r="E41" s="306"/>
      <c r="F41" s="306"/>
      <c r="G41" s="306"/>
      <c r="H41" s="306"/>
      <c r="I41" s="306"/>
      <c r="J41" s="306"/>
      <c r="K41" s="306"/>
    </row>
    <row r="42" spans="1:11" s="35" customFormat="1" ht="7.5" customHeight="1" x14ac:dyDescent="0.35">
      <c r="A42" s="1"/>
      <c r="B42" s="1"/>
      <c r="C42" s="1"/>
      <c r="D42" s="1"/>
      <c r="E42" s="1"/>
      <c r="F42" s="1"/>
      <c r="G42" s="63"/>
      <c r="H42" s="1"/>
      <c r="I42" s="1"/>
      <c r="J42" s="1"/>
      <c r="K42" s="1"/>
    </row>
    <row r="43" spans="1:11" s="1" customFormat="1" ht="16" thickBot="1" x14ac:dyDescent="0.4">
      <c r="C43" s="310" t="s">
        <v>105</v>
      </c>
      <c r="D43" s="310"/>
      <c r="E43" s="310"/>
      <c r="G43" s="310" t="s">
        <v>106</v>
      </c>
      <c r="H43" s="310"/>
      <c r="I43" s="310"/>
    </row>
    <row r="44" spans="1:11" ht="7.5" customHeight="1" x14ac:dyDescent="0.35">
      <c r="A44" s="1"/>
      <c r="B44" s="1"/>
      <c r="C44" s="17"/>
      <c r="D44" s="17"/>
      <c r="E44" s="17"/>
      <c r="F44" s="1"/>
      <c r="G44" s="17"/>
      <c r="H44" s="17"/>
      <c r="I44" s="17"/>
      <c r="J44" s="1"/>
      <c r="K44" s="1"/>
    </row>
    <row r="45" spans="1:11" ht="16.5" customHeight="1" x14ac:dyDescent="0.35">
      <c r="A45" s="3" t="s">
        <v>253</v>
      </c>
      <c r="B45" s="1"/>
      <c r="D45" s="26">
        <f>SUM(C39*Input!E4)</f>
        <v>17897.768544295464</v>
      </c>
      <c r="E45" s="1"/>
      <c r="F45" s="1"/>
      <c r="H45" s="26">
        <f>SUM(G39*Input!H4)</f>
        <v>5858.2810278642464</v>
      </c>
      <c r="I45" s="1"/>
      <c r="J45" s="1"/>
      <c r="K45" s="1"/>
    </row>
    <row r="46" spans="1:11" s="1" customFormat="1" ht="7.5" customHeight="1" x14ac:dyDescent="0.35">
      <c r="A46" s="3"/>
      <c r="C46" s="26"/>
      <c r="D46" s="3"/>
      <c r="G46" s="26"/>
      <c r="H46" s="3"/>
    </row>
    <row r="47" spans="1:11" s="1" customFormat="1" ht="15.5" x14ac:dyDescent="0.35">
      <c r="A47" s="3" t="s">
        <v>254</v>
      </c>
      <c r="C47" s="26"/>
      <c r="D47" s="11">
        <f>E39</f>
        <v>1.4094100000000003</v>
      </c>
      <c r="G47" s="26"/>
      <c r="H47" s="11">
        <f>I39</f>
        <v>1.3553074602314814</v>
      </c>
    </row>
    <row r="48" spans="1:11" s="1" customFormat="1" ht="7.5" customHeight="1" x14ac:dyDescent="0.35">
      <c r="A48" s="3"/>
      <c r="C48" s="26"/>
      <c r="D48" s="11"/>
      <c r="G48" s="26"/>
      <c r="H48" s="11"/>
    </row>
    <row r="49" spans="1:11" s="1" customFormat="1" ht="15.5" x14ac:dyDescent="0.35">
      <c r="A49" s="3" t="s">
        <v>255</v>
      </c>
      <c r="C49" s="26"/>
      <c r="D49" s="26">
        <f>'Fixed Cost Input'!E19</f>
        <v>3191.4893617021276</v>
      </c>
      <c r="G49" s="26"/>
      <c r="H49" s="26">
        <f>'Fixed Cost Input'!I19</f>
        <v>4218.75</v>
      </c>
    </row>
    <row r="50" spans="1:11" s="1" customFormat="1" ht="7.5" customHeight="1" x14ac:dyDescent="0.35">
      <c r="A50" s="3"/>
      <c r="C50" s="26"/>
      <c r="D50" s="26"/>
      <c r="G50" s="26"/>
      <c r="H50" s="26"/>
    </row>
    <row r="51" spans="1:11" s="1" customFormat="1" ht="15.5" x14ac:dyDescent="0.35">
      <c r="A51" s="3" t="s">
        <v>256</v>
      </c>
      <c r="B51" s="3"/>
      <c r="D51" s="11">
        <f>ROUND(D45/D7,2)</f>
        <v>33.83</v>
      </c>
      <c r="E51" s="139"/>
      <c r="F51" s="3"/>
      <c r="H51" s="11">
        <f>ROUND(H45/H7,2)</f>
        <v>32.549999999999997</v>
      </c>
      <c r="I51" s="3"/>
      <c r="J51" s="3"/>
      <c r="K51" s="3"/>
    </row>
    <row r="52" spans="1:11" s="1" customFormat="1" ht="7.5" customHeight="1" x14ac:dyDescent="0.35">
      <c r="A52" s="3"/>
      <c r="B52" s="3"/>
      <c r="C52" s="11"/>
      <c r="D52" s="3"/>
      <c r="E52" s="3"/>
      <c r="F52" s="3"/>
      <c r="G52" s="11"/>
      <c r="H52" s="3"/>
      <c r="I52" s="3"/>
      <c r="J52" s="3"/>
      <c r="K52" s="3"/>
    </row>
    <row r="53" spans="1:11" s="1" customFormat="1" ht="15.5" x14ac:dyDescent="0.35">
      <c r="A53" s="3" t="s">
        <v>237</v>
      </c>
      <c r="B53" s="3"/>
      <c r="C53" s="11"/>
      <c r="D53" s="26">
        <f>Input!E21</f>
        <v>567.10775047258983</v>
      </c>
      <c r="E53" s="3"/>
      <c r="F53" s="3"/>
      <c r="G53" s="11"/>
      <c r="H53" s="26">
        <f>Input!H21</f>
        <v>750</v>
      </c>
      <c r="I53" s="3"/>
      <c r="J53" s="3"/>
      <c r="K53" s="3"/>
    </row>
    <row r="54" spans="1:11" s="3" customFormat="1" ht="15.5" x14ac:dyDescent="0.35">
      <c r="A54" s="1"/>
      <c r="B54" s="1"/>
      <c r="C54" s="1"/>
      <c r="D54" s="1"/>
      <c r="E54" s="1"/>
      <c r="F54" s="1"/>
      <c r="G54" s="63"/>
      <c r="H54" s="1"/>
      <c r="I54" s="1"/>
      <c r="J54" s="1"/>
      <c r="K54" s="1"/>
    </row>
    <row r="55" spans="1:11" s="1" customFormat="1" ht="26.25" customHeight="1" x14ac:dyDescent="0.35">
      <c r="A55" s="305" t="s">
        <v>107</v>
      </c>
      <c r="B55" s="305"/>
      <c r="C55" s="305"/>
      <c r="D55" s="305"/>
      <c r="E55" s="305"/>
      <c r="F55" s="305"/>
      <c r="G55" s="305"/>
      <c r="H55" s="305"/>
      <c r="I55" s="305"/>
      <c r="J55" s="305"/>
      <c r="K55" s="305"/>
    </row>
    <row r="56" spans="1:11" s="1" customFormat="1" ht="15.5" x14ac:dyDescent="0.35">
      <c r="G56" s="63"/>
    </row>
    <row r="57" spans="1:11" s="1" customFormat="1" ht="19.5" customHeight="1" x14ac:dyDescent="0.35">
      <c r="B57" s="142"/>
      <c r="C57" s="142"/>
      <c r="D57" s="142"/>
      <c r="E57" s="142"/>
      <c r="F57" s="142"/>
      <c r="G57" s="142"/>
      <c r="H57" s="142"/>
      <c r="I57" s="142"/>
      <c r="J57" s="142"/>
      <c r="K57" s="142"/>
    </row>
    <row r="58" spans="1:11" ht="16.5" customHeight="1" x14ac:dyDescent="0.25">
      <c r="A58" s="142"/>
      <c r="B58" s="142"/>
      <c r="C58" s="142"/>
      <c r="D58" s="142"/>
      <c r="E58" s="142"/>
      <c r="F58" s="142"/>
      <c r="G58" s="142"/>
      <c r="H58" s="142"/>
      <c r="I58" s="142"/>
      <c r="J58" s="142"/>
      <c r="K58" s="142"/>
    </row>
  </sheetData>
  <sheetProtection password="C6A6" sheet="1" objects="1" scenarios="1"/>
  <mergeCells count="9">
    <mergeCell ref="A55:K55"/>
    <mergeCell ref="A41:K41"/>
    <mergeCell ref="B11:E11"/>
    <mergeCell ref="F11:K11"/>
    <mergeCell ref="A1:K1"/>
    <mergeCell ref="C3:E3"/>
    <mergeCell ref="G3:I3"/>
    <mergeCell ref="C43:E43"/>
    <mergeCell ref="G43:I43"/>
  </mergeCells>
  <phoneticPr fontId="20" type="noConversion"/>
  <pageMargins left="0.74803149606299213" right="0.74803149606299213" top="0.98425196850393704" bottom="0.98425196850393704" header="0.51181102362204722" footer="0.51181102362204722"/>
  <pageSetup scale="73" firstPageNumber="2" fitToHeight="2" orientation="portrait" useFirstPageNumber="1" r:id="rId1"/>
  <headerFooter scaleWithDoc="0" alignWithMargins="0">
    <oddHeader>&amp;LGuidelines: Pasture Production Costs&amp;R&amp;P</oddHeader>
  </headerFooter>
  <ignoredErrors>
    <ignoredError sqref="D23 E23" formula="1"/>
    <ignoredError sqref="C33 D33 E33"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O48"/>
  <sheetViews>
    <sheetView zoomScaleNormal="100" workbookViewId="0">
      <selection sqref="A1:K1"/>
    </sheetView>
  </sheetViews>
  <sheetFormatPr defaultColWidth="9.08984375" defaultRowHeight="12.5" x14ac:dyDescent="0.25"/>
  <cols>
    <col min="1" max="1" width="3.6328125" customWidth="1"/>
    <col min="2" max="2" width="20" customWidth="1"/>
    <col min="3" max="3" width="10.81640625" customWidth="1"/>
    <col min="4" max="5" width="11.54296875" customWidth="1"/>
    <col min="6" max="6" width="12.08984375" customWidth="1"/>
    <col min="7" max="7" width="4" customWidth="1"/>
    <col min="8" max="8" width="11.54296875" customWidth="1"/>
    <col min="9" max="10" width="12.08984375" customWidth="1"/>
    <col min="11" max="11" width="12.54296875" bestFit="1" customWidth="1"/>
    <col min="12" max="12" width="10.08984375" customWidth="1"/>
    <col min="13" max="13" width="8.81640625" customWidth="1"/>
    <col min="16" max="16" width="11" bestFit="1" customWidth="1"/>
    <col min="19" max="46" width="0" hidden="1" customWidth="1"/>
  </cols>
  <sheetData>
    <row r="1" spans="1:15" s="1" customFormat="1" ht="24" customHeight="1" x14ac:dyDescent="0.35">
      <c r="A1" s="312" t="s">
        <v>264</v>
      </c>
      <c r="B1" s="312"/>
      <c r="C1" s="312"/>
      <c r="D1" s="312"/>
      <c r="E1" s="312"/>
      <c r="F1" s="312"/>
      <c r="G1" s="312"/>
      <c r="H1" s="312"/>
      <c r="I1" s="312"/>
      <c r="J1" s="312"/>
      <c r="K1" s="312"/>
    </row>
    <row r="2" spans="1:15" ht="7.5" customHeight="1" x14ac:dyDescent="0.35">
      <c r="A2" s="1"/>
      <c r="C2" s="1"/>
      <c r="D2" s="13"/>
      <c r="E2" s="13"/>
      <c r="F2" s="1"/>
      <c r="G2" s="1"/>
      <c r="H2" s="13"/>
      <c r="I2" s="1"/>
      <c r="J2" s="1"/>
    </row>
    <row r="3" spans="1:15" ht="15.5" x14ac:dyDescent="0.35">
      <c r="A3" s="1"/>
      <c r="C3" s="1"/>
      <c r="D3" s="311" t="s">
        <v>105</v>
      </c>
      <c r="E3" s="311"/>
      <c r="F3" s="311"/>
      <c r="G3" s="60"/>
      <c r="H3" s="311" t="s">
        <v>106</v>
      </c>
      <c r="I3" s="311"/>
      <c r="J3" s="311"/>
    </row>
    <row r="4" spans="1:15" s="1" customFormat="1" ht="15.75" customHeight="1" x14ac:dyDescent="0.35">
      <c r="D4" s="17"/>
      <c r="E4" s="17"/>
      <c r="F4" s="17" t="s">
        <v>267</v>
      </c>
      <c r="H4" s="17"/>
      <c r="I4" s="17"/>
      <c r="J4" s="17" t="s">
        <v>267</v>
      </c>
    </row>
    <row r="5" spans="1:15" s="1" customFormat="1" ht="15.75" customHeight="1" x14ac:dyDescent="0.35">
      <c r="D5" s="17"/>
      <c r="E5" s="17" t="s">
        <v>262</v>
      </c>
      <c r="F5" s="17" t="s">
        <v>261</v>
      </c>
      <c r="H5" s="17"/>
      <c r="I5" s="17" t="s">
        <v>262</v>
      </c>
      <c r="J5" s="17" t="s">
        <v>261</v>
      </c>
    </row>
    <row r="6" spans="1:15" s="1" customFormat="1" ht="15.75" customHeight="1" x14ac:dyDescent="0.35">
      <c r="E6" s="15" t="s">
        <v>263</v>
      </c>
      <c r="F6" s="15" t="s">
        <v>26</v>
      </c>
      <c r="I6" s="15" t="s">
        <v>263</v>
      </c>
      <c r="J6" s="15" t="s">
        <v>26</v>
      </c>
    </row>
    <row r="7" spans="1:15" s="1" customFormat="1" ht="15.75" customHeight="1" x14ac:dyDescent="0.35">
      <c r="A7" s="1" t="s">
        <v>259</v>
      </c>
      <c r="D7" s="171" t="str">
        <f>"(from "&amp;Input!E8&amp;" hd)"</f>
        <v>(from 94 hd)</v>
      </c>
      <c r="E7" s="76">
        <v>2</v>
      </c>
      <c r="F7" s="296">
        <f>ROUND(ROUND(Summary!C39/ROUND(((Input!E8+Risk!E7)/'Fixed Cost Input'!E4),2),2)/Input!E15,2)</f>
        <v>1.38</v>
      </c>
      <c r="H7" s="171" t="str">
        <f>"(from "&amp;Input!H8&amp;" hd)"</f>
        <v>(from 32 hd)</v>
      </c>
      <c r="I7" s="266">
        <f>E7</f>
        <v>2</v>
      </c>
      <c r="J7" s="296">
        <f>ROUND(ROUND(Summary!G39/ROUND(((Input!H8+Risk!I7)/'Fixed Cost Input'!I4),2),2)/Input!H15,2)</f>
        <v>1.29</v>
      </c>
    </row>
    <row r="8" spans="1:15" s="1" customFormat="1" ht="15.75" customHeight="1" x14ac:dyDescent="0.35">
      <c r="A8" s="1" t="s">
        <v>260</v>
      </c>
      <c r="D8" s="171" t="str">
        <f>"(from "&amp;Input!E15&amp;" days)"</f>
        <v>(from 135 days)</v>
      </c>
      <c r="E8" s="76">
        <v>5</v>
      </c>
      <c r="F8" s="296">
        <f>ROUND(ROUND(Summary!C39/ROUND(((Input!E8)/'Fixed Cost Input'!E4),2),2)/(Input!E15+E8),2)</f>
        <v>1.35</v>
      </c>
      <c r="H8" s="171" t="str">
        <f>"(from "&amp;Input!H15&amp;" days)"</f>
        <v>(from 135 days)</v>
      </c>
      <c r="I8" s="266">
        <f>E8</f>
        <v>5</v>
      </c>
      <c r="J8" s="296">
        <f>ROUND(ROUND(Summary!G39/ROUND(((Input!H8)/'Fixed Cost Input'!I4),2),2)/(Input!H15+I8),2)</f>
        <v>1.31</v>
      </c>
    </row>
    <row r="9" spans="1:15" s="1" customFormat="1" ht="15.75" customHeight="1" x14ac:dyDescent="0.35">
      <c r="D9" s="171"/>
      <c r="E9" s="78"/>
      <c r="F9" s="297"/>
      <c r="H9" s="171"/>
      <c r="I9" s="78"/>
      <c r="J9" s="299"/>
    </row>
    <row r="10" spans="1:15" s="1" customFormat="1" ht="15.75" customHeight="1" x14ac:dyDescent="0.35">
      <c r="A10" s="1" t="s">
        <v>258</v>
      </c>
      <c r="D10" s="171" t="str">
        <f>"(from "&amp;TEXT('Fixed Cost Input'!E6,"$#,###")&amp;")"</f>
        <v>(from $1,875)</v>
      </c>
      <c r="E10" s="172">
        <v>100</v>
      </c>
      <c r="F10" s="296">
        <f>Summary!$E$39-(Summary!$E$29-ROUND((-PMT('Fixed Cost Input'!$D$13,'Fixed Cost Input'!$E$13,('Fixed Cost Input'!$E$6+E10)*'Fixed Cost Input'!$E$9,0)+(('Fixed Cost Input'!$E$6+$E$10)*'Fixed Cost Input'!$E$8*'Fixed Cost Input'!$E$10))/Input!$E$9/Input!$E$15,2))</f>
        <v>1.4294100000000003</v>
      </c>
      <c r="H10" s="171" t="str">
        <f>"(from "&amp;TEXT('Fixed Cost Input'!I6,"$#,###")&amp;")"</f>
        <v>(from $844)</v>
      </c>
      <c r="I10" s="267">
        <f>E10</f>
        <v>100</v>
      </c>
      <c r="J10" s="296">
        <f>Summary!I39-(Summary!$I$29-ROUND((-PMT('Fixed Cost Input'!$H$13,'Fixed Cost Input'!$I$13,('Fixed Cost Input'!$I$6+I10)*'Fixed Cost Input'!$I$9,0)+(('Fixed Cost Input'!$I$6+$I$10)*'Fixed Cost Input'!$I$8*'Fixed Cost Input'!$I$10))/Input!$H$9/Input!$H$15,2))</f>
        <v>1.4253074602314815</v>
      </c>
    </row>
    <row r="11" spans="1:15" s="1" customFormat="1" ht="15.75" customHeight="1" x14ac:dyDescent="0.35">
      <c r="A11" s="313" t="s">
        <v>257</v>
      </c>
      <c r="B11" s="313"/>
      <c r="C11" s="313"/>
      <c r="D11" s="171" t="str">
        <f>"(from "&amp;'Fixed Cost Input'!E8*100&amp;"%)"</f>
        <v>(from 75%)</v>
      </c>
      <c r="E11" s="173">
        <v>-0.05</v>
      </c>
      <c r="F11" s="296">
        <f>Summary!E39-(Summary!$E$29-ROUND((-PMT('Fixed Cost Input'!$D$13,'Fixed Cost Input'!$E$13,'Fixed Cost Input'!$E$6*('Fixed Cost Input'!$E$9-$E$11),0)+('Fixed Cost Input'!$E$6*('Fixed Cost Input'!$E$8+$E$11)*'Fixed Cost Input'!$E$10))/Input!$E$9/Input!$E$15,2))</f>
        <v>1.4994100000000004</v>
      </c>
      <c r="H11" s="171" t="str">
        <f>"(from "&amp;'Fixed Cost Input'!I8*100&amp;"%)"</f>
        <v>(from 75%)</v>
      </c>
      <c r="I11" s="271">
        <f>E11</f>
        <v>-0.05</v>
      </c>
      <c r="J11" s="296">
        <f>Summary!I39-(Summary!$I$29-ROUND((-PMT('Fixed Cost Input'!$H$13,'Fixed Cost Input'!$I$13,'Fixed Cost Input'!$I$6*('Fixed Cost Input'!$I$9-$I$11),0)+('Fixed Cost Input'!$I$6*('Fixed Cost Input'!$I$8+$I$11)*'Fixed Cost Input'!$I$10))/Input!$H$9/Input!$H$15,2))</f>
        <v>1.4753074602314813</v>
      </c>
    </row>
    <row r="12" spans="1:15" ht="15.75" customHeight="1" x14ac:dyDescent="0.25">
      <c r="A12" s="313"/>
      <c r="B12" s="313"/>
      <c r="C12" s="313"/>
      <c r="F12" s="298"/>
      <c r="J12" s="298"/>
    </row>
    <row r="13" spans="1:15" ht="15.75" customHeight="1" x14ac:dyDescent="0.35">
      <c r="A13" s="1" t="s">
        <v>407</v>
      </c>
      <c r="B13" s="260"/>
      <c r="C13" s="260"/>
      <c r="D13" s="171" t="str">
        <f>"(from "&amp;ROUND('Fixed Cost Input'!D13*100,3)&amp;"%)"</f>
        <v>(from 6%)</v>
      </c>
      <c r="E13" s="272">
        <v>5.0000000000000001E-3</v>
      </c>
      <c r="F13" s="297">
        <f>Summary!$E$39-(Summary!$E$29-ROUND((-PMT('Fixed Cost Input'!$D$13+E13,'Fixed Cost Input'!$E$13,('Fixed Cost Input'!$E$6)*'Fixed Cost Input'!$E$9,0)+(('Fixed Cost Input'!$E$6)*'Fixed Cost Input'!$E$8*'Fixed Cost Input'!$E$10))/Input!$E$9/Input!$E$15,2))</f>
        <v>1.4294100000000003</v>
      </c>
      <c r="H13" s="171" t="str">
        <f>"(from "&amp;'Fixed Cost Input'!H13*100&amp;"%)"</f>
        <v>(from 6%)</v>
      </c>
      <c r="I13" s="274">
        <f>E13</f>
        <v>5.0000000000000001E-3</v>
      </c>
      <c r="J13" s="297">
        <f>Summary!I39-(Summary!$I$29-ROUND((-PMT('Fixed Cost Input'!$H$13+I13,'Fixed Cost Input'!$I$13,('Fixed Cost Input'!$I$6)*'Fixed Cost Input'!$I$9,0)+(('Fixed Cost Input'!$I$6)*'Fixed Cost Input'!$I$8*'Fixed Cost Input'!$I$10))/Input!$H$9/Input!$H$15,2))</f>
        <v>1.3853074602314814</v>
      </c>
      <c r="O13" s="273"/>
    </row>
    <row r="14" spans="1:15" x14ac:dyDescent="0.25">
      <c r="J14" s="298"/>
    </row>
    <row r="48" spans="13:13" x14ac:dyDescent="0.25">
      <c r="M48" s="277"/>
    </row>
  </sheetData>
  <sheetProtection algorithmName="SHA-512" hashValue="jy3iJjrW/Bhw3PSMEPR+j4UlfYdDK5ytbUwCRmplefCh6I6UDUCmY3jk+iVquEjQHqbrhyBc2DBU383KQbigxg==" saltValue="C+PiwlHcmeX87EXNarlvqw==" spinCount="100000" sheet="1" objects="1" scenarios="1"/>
  <mergeCells count="4">
    <mergeCell ref="D3:F3"/>
    <mergeCell ref="H3:J3"/>
    <mergeCell ref="A1:K1"/>
    <mergeCell ref="A11:C12"/>
  </mergeCells>
  <pageMargins left="0.74803149606299213" right="0.74803149606299213" top="0.98425196850393704" bottom="0.98425196850393704" header="0.51181102362204722" footer="0.51181102362204722"/>
  <pageSetup scale="65" firstPageNumber="3" orientation="portrait" useFirstPageNumber="1" r:id="rId1"/>
  <headerFooter scaleWithDoc="0">
    <oddHeader>&amp;LGuidelines: Pasture Production Costs&amp;R&amp;P</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0"/>
  <sheetViews>
    <sheetView zoomScaleNormal="100" workbookViewId="0">
      <selection sqref="A1:I1"/>
    </sheetView>
  </sheetViews>
  <sheetFormatPr defaultRowHeight="12.5" x14ac:dyDescent="0.25"/>
  <cols>
    <col min="1" max="1" width="3" customWidth="1"/>
    <col min="2" max="2" width="45.453125" customWidth="1"/>
    <col min="3" max="3" width="13.54296875" customWidth="1"/>
    <col min="4" max="4" width="11.1796875" customWidth="1"/>
    <col min="5" max="5" width="10.08984375" customWidth="1"/>
    <col min="6" max="6" width="12.1796875" customWidth="1"/>
    <col min="7" max="7" width="15.81640625" customWidth="1"/>
    <col min="8" max="8" width="15.6328125" customWidth="1"/>
    <col min="12" max="13" width="9.08984375" hidden="1" customWidth="1"/>
  </cols>
  <sheetData>
    <row r="1" spans="1:16" s="1" customFormat="1" ht="24" customHeight="1" x14ac:dyDescent="0.35">
      <c r="A1" s="312" t="s">
        <v>408</v>
      </c>
      <c r="B1" s="312"/>
      <c r="C1" s="312"/>
      <c r="D1" s="312"/>
      <c r="E1" s="312"/>
      <c r="F1" s="312"/>
      <c r="G1" s="312"/>
      <c r="H1" s="312"/>
      <c r="I1" s="312"/>
    </row>
    <row r="2" spans="1:16" ht="9" customHeight="1" x14ac:dyDescent="0.35">
      <c r="D2" s="1"/>
      <c r="E2" s="1"/>
      <c r="F2" s="1"/>
    </row>
    <row r="3" spans="1:16" s="1" customFormat="1" ht="16" thickBot="1" x14ac:dyDescent="0.4">
      <c r="A3" s="12" t="s">
        <v>312</v>
      </c>
      <c r="C3" s="202"/>
      <c r="F3" s="202"/>
      <c r="L3" s="201" t="s">
        <v>322</v>
      </c>
      <c r="M3" s="201"/>
    </row>
    <row r="4" spans="1:16" s="1" customFormat="1" ht="15.5" x14ac:dyDescent="0.35">
      <c r="B4" s="1" t="s">
        <v>314</v>
      </c>
      <c r="D4" s="235">
        <v>134</v>
      </c>
      <c r="E4" s="1" t="s">
        <v>313</v>
      </c>
      <c r="F4" s="28" t="s">
        <v>335</v>
      </c>
      <c r="G4" s="3">
        <f>ROUND(D4/30,2)</f>
        <v>4.47</v>
      </c>
      <c r="H4" s="1" t="s">
        <v>334</v>
      </c>
      <c r="L4" s="203" t="s">
        <v>309</v>
      </c>
      <c r="M4" s="204">
        <v>0</v>
      </c>
    </row>
    <row r="5" spans="1:16" s="1" customFormat="1" ht="15.5" x14ac:dyDescent="0.35">
      <c r="B5" s="1" t="s">
        <v>315</v>
      </c>
      <c r="D5" s="236">
        <v>0.9</v>
      </c>
      <c r="F5" s="202"/>
      <c r="L5" s="205" t="s">
        <v>306</v>
      </c>
      <c r="M5" s="206">
        <v>1</v>
      </c>
    </row>
    <row r="6" spans="1:16" s="1" customFormat="1" ht="15" customHeight="1" x14ac:dyDescent="0.35">
      <c r="B6" s="1" t="s">
        <v>337</v>
      </c>
      <c r="C6" s="315">
        <v>44702</v>
      </c>
      <c r="D6" s="315"/>
      <c r="F6" s="246" t="s">
        <v>338</v>
      </c>
      <c r="G6" s="220">
        <f>C6+ROUND(D4*D5,0)</f>
        <v>44823</v>
      </c>
      <c r="H6" s="1" t="str">
        <f>", or "&amp;ROUND(C21/D17,0)&amp;" days)"</f>
        <v>, or 121 days)</v>
      </c>
      <c r="L6" s="205" t="s">
        <v>307</v>
      </c>
      <c r="M6" s="206">
        <v>1.3</v>
      </c>
    </row>
    <row r="7" spans="1:16" s="1" customFormat="1" ht="16" thickBot="1" x14ac:dyDescent="0.4">
      <c r="B7" s="139" t="str">
        <f>"Historical grazing period end date ("&amp;D4&amp;" days)"</f>
        <v>Historical grazing period end date (134 days)</v>
      </c>
      <c r="D7" s="314">
        <f>C6+D4</f>
        <v>44836</v>
      </c>
      <c r="E7" s="314"/>
      <c r="F7" s="246"/>
      <c r="G7" s="220"/>
      <c r="L7" s="207" t="s">
        <v>308</v>
      </c>
      <c r="M7" s="208">
        <v>0.6</v>
      </c>
    </row>
    <row r="8" spans="1:16" s="1" customFormat="1" ht="15.5" x14ac:dyDescent="0.35">
      <c r="B8" s="1" t="s">
        <v>316</v>
      </c>
      <c r="D8" s="240">
        <v>2.25</v>
      </c>
      <c r="F8" s="202"/>
      <c r="G8" s="318" t="s">
        <v>364</v>
      </c>
      <c r="H8" s="318"/>
      <c r="I8" s="318"/>
    </row>
    <row r="9" spans="1:16" s="1" customFormat="1" ht="15.5" x14ac:dyDescent="0.35">
      <c r="B9" s="1" t="s">
        <v>323</v>
      </c>
      <c r="D9" s="241">
        <v>4.7E-2</v>
      </c>
      <c r="F9" s="202"/>
      <c r="G9" s="318" t="s">
        <v>405</v>
      </c>
      <c r="H9" s="318"/>
      <c r="I9" s="318"/>
    </row>
    <row r="10" spans="1:16" s="1" customFormat="1" ht="15.5" x14ac:dyDescent="0.35">
      <c r="B10" s="1" t="s">
        <v>324</v>
      </c>
      <c r="D10" s="242">
        <v>0.4</v>
      </c>
      <c r="F10" s="202"/>
    </row>
    <row r="11" spans="1:16" s="1" customFormat="1" ht="7.5" customHeight="1" x14ac:dyDescent="0.35">
      <c r="C11" s="202"/>
      <c r="F11" s="202"/>
      <c r="L11" s="144"/>
      <c r="M11" s="143"/>
    </row>
    <row r="12" spans="1:16" s="1" customFormat="1" ht="16" thickBot="1" x14ac:dyDescent="0.4">
      <c r="A12" s="12"/>
      <c r="C12" s="62" t="s">
        <v>105</v>
      </c>
      <c r="D12" s="209"/>
      <c r="G12" s="62" t="s">
        <v>106</v>
      </c>
      <c r="H12" s="209"/>
      <c r="J12" s="143"/>
      <c r="K12" s="144"/>
      <c r="N12" s="144"/>
      <c r="O12" s="144"/>
      <c r="P12" s="144"/>
    </row>
    <row r="13" spans="1:16" s="1" customFormat="1" ht="7.5" customHeight="1" x14ac:dyDescent="0.35">
      <c r="L13" s="144"/>
      <c r="M13" s="144"/>
    </row>
    <row r="14" spans="1:16" s="1" customFormat="1" ht="15.5" x14ac:dyDescent="0.35">
      <c r="A14" s="12" t="s">
        <v>17</v>
      </c>
      <c r="C14" s="3">
        <f>Input!E4</f>
        <v>160</v>
      </c>
      <c r="D14" s="1" t="s">
        <v>20</v>
      </c>
      <c r="G14" s="3">
        <f>Input!H4</f>
        <v>160</v>
      </c>
      <c r="H14" s="1" t="s">
        <v>20</v>
      </c>
      <c r="J14" s="144"/>
      <c r="K14" s="151"/>
      <c r="L14" s="144"/>
      <c r="M14" s="144"/>
      <c r="N14" s="144"/>
      <c r="O14" s="151"/>
      <c r="P14" s="144"/>
    </row>
    <row r="15" spans="1:16" s="1" customFormat="1" ht="7.5" customHeight="1" x14ac:dyDescent="0.35">
      <c r="C15" s="4"/>
      <c r="G15" s="4"/>
      <c r="J15" s="144"/>
      <c r="K15" s="151"/>
      <c r="N15" s="144"/>
      <c r="O15" s="151"/>
      <c r="P15" s="144"/>
    </row>
    <row r="16" spans="1:16" s="1" customFormat="1" ht="29" thickBot="1" x14ac:dyDescent="0.4">
      <c r="A16" s="12" t="s">
        <v>317</v>
      </c>
      <c r="C16" s="216" t="s">
        <v>310</v>
      </c>
      <c r="D16" s="216" t="s">
        <v>311</v>
      </c>
      <c r="F16" s="213"/>
      <c r="G16" s="216" t="s">
        <v>310</v>
      </c>
      <c r="H16" s="216" t="s">
        <v>311</v>
      </c>
      <c r="I16" s="60"/>
      <c r="J16" s="60"/>
    </row>
    <row r="17" spans="1:13" s="1" customFormat="1" ht="16" thickBot="1" x14ac:dyDescent="0.4">
      <c r="B17" s="261" t="s">
        <v>307</v>
      </c>
      <c r="C17" s="214">
        <f>Input!E8</f>
        <v>94</v>
      </c>
      <c r="D17" s="215">
        <f>IF(ROUND(VLOOKUP(B17,$L$4:$M$7,2,FALSE)*C17,0)&lt;30,0,ROUND(VLOOKUP(B17,$L$4:$M$7,2,FALSE)*C17,0))</f>
        <v>122</v>
      </c>
      <c r="G17" s="214">
        <f>Input!H8</f>
        <v>32</v>
      </c>
      <c r="H17" s="215">
        <f>IF(ROUND(VLOOKUP(B17,$L$4:$M$7,2,FALSE)*G17,0)&lt;30,0,ROUND(VLOOKUP(B17,$L$4:$M$7,2,FALSE)*G17,0))</f>
        <v>42</v>
      </c>
      <c r="L17"/>
      <c r="M17"/>
    </row>
    <row r="18" spans="1:13" ht="7.5" customHeight="1" x14ac:dyDescent="0.35">
      <c r="C18" s="200"/>
      <c r="F18" s="200"/>
      <c r="L18" s="1"/>
      <c r="M18" s="1"/>
    </row>
    <row r="19" spans="1:13" s="1" customFormat="1" ht="15.5" x14ac:dyDescent="0.35">
      <c r="A19" s="12" t="s">
        <v>318</v>
      </c>
      <c r="C19" s="202"/>
      <c r="F19" s="202"/>
    </row>
    <row r="20" spans="1:13" s="1" customFormat="1" ht="15.5" x14ac:dyDescent="0.35">
      <c r="B20" s="1" t="s">
        <v>327</v>
      </c>
      <c r="C20" s="99">
        <f>D17*D4</f>
        <v>16348</v>
      </c>
      <c r="D20" s="60" t="str">
        <f>"("&amp;D17&amp;" AU x "&amp;$D$4&amp;" days)"</f>
        <v>(122 AU x 134 days)</v>
      </c>
      <c r="F20" s="202"/>
      <c r="G20" s="99">
        <f>H17*D4</f>
        <v>5628</v>
      </c>
      <c r="H20" s="60" t="str">
        <f>"("&amp;H17&amp;" AU x "&amp;$D$4&amp;" days)"</f>
        <v>(42 AU x 134 days)</v>
      </c>
    </row>
    <row r="21" spans="1:13" s="1" customFormat="1" ht="15.5" x14ac:dyDescent="0.35">
      <c r="B21" s="1" t="s">
        <v>328</v>
      </c>
      <c r="C21" s="99">
        <f>C20*D5</f>
        <v>14713.2</v>
      </c>
      <c r="D21" s="60" t="str">
        <f>"("&amp;TEXT(C20,"#,###")&amp;" x "&amp;$D$5*100&amp;"% or "&amp;ROUND(C21/D17,0)&amp;" days)"</f>
        <v>(16,348 x 90% or 121 days)</v>
      </c>
      <c r="F21" s="202"/>
      <c r="G21" s="99">
        <f>G20*D5</f>
        <v>5065.2</v>
      </c>
      <c r="H21" s="60" t="str">
        <f>"("&amp;TEXT(G20,"#,###")&amp;" x "&amp;$D$5*100&amp;"% or "&amp;ROUND(G21/H17,0)&amp;" days)"</f>
        <v>(5,628 x 90% or 121 days)</v>
      </c>
    </row>
    <row r="22" spans="1:13" s="1" customFormat="1" ht="15.5" x14ac:dyDescent="0.35">
      <c r="B22" s="1" t="s">
        <v>329</v>
      </c>
      <c r="C22" s="11">
        <f>C21*D8</f>
        <v>33104.700000000004</v>
      </c>
      <c r="D22" s="60" t="str">
        <f>"("&amp;TEXT(C21,"#,###")&amp;" x $"&amp;$D$8&amp;")"</f>
        <v>(14,713 x $2.25)</v>
      </c>
      <c r="F22" s="202"/>
      <c r="G22" s="11">
        <f>G21*D8</f>
        <v>11396.699999999999</v>
      </c>
      <c r="H22" s="60" t="str">
        <f>"("&amp;TEXT(G21,"#,###")&amp;" x $"&amp;$D$8&amp;")"</f>
        <v>(5,065 x $2.25)</v>
      </c>
    </row>
    <row r="23" spans="1:13" s="1" customFormat="1" ht="15.5" x14ac:dyDescent="0.35">
      <c r="B23" s="1" t="s">
        <v>344</v>
      </c>
      <c r="C23" s="11">
        <f>C22/C17</f>
        <v>352.17765957446812</v>
      </c>
      <c r="D23" s="277" t="str">
        <f>"($"&amp;TEXT(C22,"#,###")&amp;" ÷ "&amp;C17&amp;" head)"</f>
        <v>($33,105 ÷ 94 head)</v>
      </c>
      <c r="F23" s="202"/>
      <c r="G23" s="11">
        <f>G22/G17</f>
        <v>356.14687499999997</v>
      </c>
      <c r="H23" s="277" t="str">
        <f>"($"&amp;TEXT(G22,"#,###")&amp;" ÷ "&amp;G17&amp;" head)"</f>
        <v>($11,397 ÷ 32 head)</v>
      </c>
    </row>
    <row r="24" spans="1:13" s="1" customFormat="1" ht="15.5" x14ac:dyDescent="0.35">
      <c r="B24" s="1" t="s">
        <v>345</v>
      </c>
      <c r="C24" s="11">
        <f>C23/D4</f>
        <v>2.6281914893617024</v>
      </c>
      <c r="D24" s="277" t="str">
        <f>"($"&amp;TEXT(C23,"#,###.##")&amp;" ÷ "&amp;D4&amp;" days)"</f>
        <v>($352.18 ÷ 134 days)</v>
      </c>
      <c r="F24" s="202"/>
      <c r="G24" s="11">
        <f>G23/D4</f>
        <v>2.6578124999999999</v>
      </c>
      <c r="H24" s="277" t="str">
        <f>"($"&amp;TEXT(G23,"#,###.##")&amp;" ÷ "&amp;D4&amp;" days)"</f>
        <v>($356.15 ÷ 134 days)</v>
      </c>
    </row>
    <row r="25" spans="1:13" s="1" customFormat="1" ht="7.5" customHeight="1" x14ac:dyDescent="0.35">
      <c r="C25" s="202"/>
      <c r="F25" s="202"/>
    </row>
    <row r="26" spans="1:13" s="1" customFormat="1" ht="15.5" x14ac:dyDescent="0.35">
      <c r="A26" s="12" t="s">
        <v>321</v>
      </c>
      <c r="C26" s="202"/>
      <c r="F26" s="202"/>
    </row>
    <row r="27" spans="1:13" s="1" customFormat="1" ht="15.5" x14ac:dyDescent="0.35">
      <c r="B27" s="1" t="s">
        <v>325</v>
      </c>
      <c r="D27" s="202"/>
      <c r="F27" s="202"/>
    </row>
    <row r="28" spans="1:13" s="1" customFormat="1" ht="15.5" x14ac:dyDescent="0.35">
      <c r="B28" s="1" t="s">
        <v>330</v>
      </c>
      <c r="C28" s="11">
        <f>D4*D17*D5*D8*D9</f>
        <v>1555.9209000000003</v>
      </c>
      <c r="D28" s="60" t="str">
        <f>"("&amp;$D$4&amp;" x "&amp;D17&amp;" X "&amp;$D$5*100&amp;"% x $"&amp;$D$8&amp;" x "&amp;$D$9*100&amp;"%)"</f>
        <v>(134 x 122 X 90% x $2.25 x 4.7%)</v>
      </c>
      <c r="F28" s="202"/>
      <c r="G28" s="11">
        <f>D4*H17*D5*D8*D9</f>
        <v>535.64489999999989</v>
      </c>
      <c r="H28" s="60" t="str">
        <f>"("&amp;$D$4&amp;" x "&amp;H17&amp;" X "&amp;$D$5*100&amp;"% x $"&amp;$D$8&amp;" x "&amp;$D$9*100&amp;"%)"</f>
        <v>(134 x 42 X 90% x $2.25 x 4.7%)</v>
      </c>
    </row>
    <row r="29" spans="1:13" s="1" customFormat="1" ht="15.5" x14ac:dyDescent="0.35">
      <c r="B29" s="1" t="str">
        <f>"Est. Premium: Producer Share ("&amp;(C29/C22)*100&amp;"%)"</f>
        <v>Est. Premium: Producer Share (1.88%)</v>
      </c>
      <c r="C29" s="11">
        <f>C28*D10</f>
        <v>622.36836000000017</v>
      </c>
      <c r="D29" s="60" t="str">
        <f>"($"&amp;TEXT(C28,"#,###.##")&amp;" x "&amp;D10*100&amp;"%)"</f>
        <v>($1,555.92 x 40%)</v>
      </c>
      <c r="F29" s="202"/>
      <c r="G29" s="11">
        <f>G28*D10</f>
        <v>214.25795999999997</v>
      </c>
      <c r="H29" s="60" t="str">
        <f>"($"&amp;TEXT(G28,"#,###.##")&amp;" x "&amp;D10*100&amp;"%)"</f>
        <v>($535.64 x 40%)</v>
      </c>
    </row>
    <row r="30" spans="1:13" s="1" customFormat="1" ht="15.5" x14ac:dyDescent="0.35">
      <c r="B30" s="1" t="s">
        <v>331</v>
      </c>
      <c r="C30" s="11">
        <f>C29/C14</f>
        <v>3.8898022500000011</v>
      </c>
      <c r="D30" s="60" t="str">
        <f>"($"&amp;TEXT(C29,"#,###.##")&amp;" ÷ "&amp;C14&amp;")"</f>
        <v>($622.37 ÷ 160)</v>
      </c>
      <c r="F30" s="202"/>
      <c r="G30" s="11">
        <f>G29/G14</f>
        <v>1.3391122499999999</v>
      </c>
      <c r="H30" s="60" t="str">
        <f>"($"&amp;TEXT(G29,"#,###.##")&amp;" ÷ "&amp;G14&amp;")"</f>
        <v>($214.26 ÷ 160)</v>
      </c>
      <c r="J30" s="218"/>
    </row>
    <row r="31" spans="1:13" s="1" customFormat="1" ht="15.5" x14ac:dyDescent="0.35">
      <c r="B31" s="1" t="s">
        <v>333</v>
      </c>
      <c r="C31" s="11">
        <f>C29/C17</f>
        <v>6.6209400000000018</v>
      </c>
      <c r="D31" s="60" t="str">
        <f>"($"&amp;TEXT(C29,"#,###.##")&amp;" ÷ "&amp;C17&amp;")"</f>
        <v>($622.37 ÷ 94)</v>
      </c>
      <c r="F31" s="202"/>
      <c r="G31" s="11">
        <f>G29/G17</f>
        <v>6.695561249999999</v>
      </c>
      <c r="H31" s="60" t="str">
        <f>"($"&amp;TEXT(G29,"#,###.##")&amp;" ÷ "&amp;G17&amp;")"</f>
        <v>($214.26 ÷ 32)</v>
      </c>
    </row>
    <row r="32" spans="1:13" s="1" customFormat="1" ht="15.5" x14ac:dyDescent="0.35">
      <c r="B32" s="1" t="s">
        <v>332</v>
      </c>
      <c r="C32" s="217">
        <f>C31/D4</f>
        <v>4.9410000000000016E-2</v>
      </c>
      <c r="D32" s="60" t="str">
        <f>"($"&amp;TEXT(C31,"#,###.##")&amp;" ÷ "&amp;D4&amp;")"</f>
        <v>($6.62 ÷ 134)</v>
      </c>
      <c r="F32" s="202"/>
      <c r="G32" s="217">
        <f>G31/D4</f>
        <v>4.9966874999999994E-2</v>
      </c>
      <c r="H32" s="60" t="str">
        <f>"($"&amp;TEXT(G31,"#,###.##")&amp;" ÷ "&amp;D4&amp;")"</f>
        <v>($6.7 ÷ 134)</v>
      </c>
    </row>
    <row r="33" spans="1:13" s="1" customFormat="1" ht="7.5" customHeight="1" x14ac:dyDescent="0.35">
      <c r="C33" s="11"/>
      <c r="D33" s="60"/>
      <c r="F33" s="202"/>
      <c r="G33" s="11"/>
      <c r="H33" s="60"/>
    </row>
    <row r="34" spans="1:13" s="1" customFormat="1" ht="15.5" x14ac:dyDescent="0.35">
      <c r="A34" s="12" t="s">
        <v>336</v>
      </c>
      <c r="F34" s="202"/>
    </row>
    <row r="35" spans="1:13" s="1" customFormat="1" ht="15.5" x14ac:dyDescent="0.35">
      <c r="A35" s="12"/>
      <c r="B35" s="1" t="s">
        <v>347</v>
      </c>
      <c r="E35" s="316">
        <v>44802</v>
      </c>
      <c r="F35" s="316"/>
    </row>
    <row r="36" spans="1:13" s="1" customFormat="1" ht="15.5" x14ac:dyDescent="0.35">
      <c r="B36" s="1" t="s">
        <v>320</v>
      </c>
      <c r="E36" s="99">
        <f>E35-C6</f>
        <v>100</v>
      </c>
      <c r="F36" s="1" t="s">
        <v>313</v>
      </c>
      <c r="G36" s="220" t="str">
        <f>"("&amp;IF(ROUND(D4*D5,0)-E36&lt;0,0,ROUND(D4*D5,0)-E36)&amp;" days of pasture coverage)"</f>
        <v>(21 days of pasture coverage)</v>
      </c>
      <c r="H36" s="220"/>
    </row>
    <row r="37" spans="1:13" s="1" customFormat="1" ht="15.5" x14ac:dyDescent="0.35">
      <c r="B37" s="1" t="s">
        <v>409</v>
      </c>
      <c r="C37" s="99">
        <f>D17*E36</f>
        <v>12200</v>
      </c>
      <c r="D37" s="60" t="str">
        <f>"("&amp;D17&amp;" AU x "&amp;E36&amp;" days)"</f>
        <v>(122 AU x 100 days)</v>
      </c>
      <c r="F37" s="202"/>
      <c r="G37" s="99">
        <f>H17*E36</f>
        <v>4200</v>
      </c>
      <c r="H37" s="60" t="str">
        <f>"("&amp;H17&amp;" AU x "&amp;E36&amp;" days)"</f>
        <v>(42 AU x 100 days)</v>
      </c>
    </row>
    <row r="38" spans="1:13" s="1" customFormat="1" ht="15.5" x14ac:dyDescent="0.35">
      <c r="B38" s="1" t="s">
        <v>410</v>
      </c>
      <c r="C38" s="99">
        <f>C21-C37</f>
        <v>2513.2000000000007</v>
      </c>
      <c r="D38" s="60" t="str">
        <f>"("&amp;TEXT(C21,"#,###")&amp;" - "&amp;TEXT(C37,"#,###")&amp;")"</f>
        <v>(14,713 - 12,200)</v>
      </c>
      <c r="F38" s="202"/>
      <c r="G38" s="99">
        <f>G21-G37</f>
        <v>865.19999999999982</v>
      </c>
      <c r="H38" s="60" t="str">
        <f>"("&amp;TEXT(G21,"#,###")&amp;" - "&amp;TEXT(G37,"#,###")&amp;")"</f>
        <v>(5,065 - 4,200)</v>
      </c>
    </row>
    <row r="39" spans="1:13" s="1" customFormat="1" ht="15.5" x14ac:dyDescent="0.35">
      <c r="B39" s="1" t="s">
        <v>359</v>
      </c>
      <c r="C39" s="11">
        <f>C38*D8</f>
        <v>5654.7000000000016</v>
      </c>
      <c r="D39" s="60" t="str">
        <f>"("&amp;TEXT(C38,"#,###")&amp;" AU Days x $"&amp;$D$8&amp;")"</f>
        <v>(2,513 AU Days x $2.25)</v>
      </c>
      <c r="F39" s="202"/>
      <c r="G39" s="11">
        <f>G38*D8</f>
        <v>1946.6999999999996</v>
      </c>
      <c r="H39" s="60" t="str">
        <f>"("&amp;TEXT(G38,"#,###")&amp;" AU Days x $"&amp;$D$8&amp;")"</f>
        <v>(865 AU Days x $2.25)</v>
      </c>
    </row>
    <row r="40" spans="1:13" s="1" customFormat="1" ht="15.5" x14ac:dyDescent="0.35">
      <c r="B40" s="1" t="s">
        <v>360</v>
      </c>
      <c r="C40" s="11">
        <f>C39/C14</f>
        <v>35.341875000000009</v>
      </c>
      <c r="D40" s="60" t="str">
        <f>"($"&amp;TEXT(C39,"#,###")&amp;" ÷ "&amp;C14&amp;" acres)"</f>
        <v>($5,655 ÷ 160 acres)</v>
      </c>
      <c r="F40" s="202"/>
      <c r="G40" s="11">
        <f>G39/G14</f>
        <v>12.166874999999997</v>
      </c>
      <c r="H40" s="60" t="str">
        <f>"($"&amp;TEXT(G39,"#,###")&amp;" ÷ "&amp;G14&amp;" acres)"</f>
        <v>($1,947 ÷ 160 acres)</v>
      </c>
    </row>
    <row r="41" spans="1:13" s="1" customFormat="1" ht="15.5" x14ac:dyDescent="0.35">
      <c r="B41" s="1" t="s">
        <v>361</v>
      </c>
      <c r="C41" s="11">
        <f>C39/C17</f>
        <v>60.156382978723421</v>
      </c>
      <c r="D41" s="60" t="str">
        <f>"($"&amp;TEXT(C39,"#,###")&amp;" ÷ "&amp;C17&amp;" head)"</f>
        <v>($5,655 ÷ 94 head)</v>
      </c>
      <c r="F41" s="202"/>
      <c r="G41" s="11">
        <f>G39/G17</f>
        <v>60.834374999999987</v>
      </c>
      <c r="H41" s="60" t="str">
        <f>"($"&amp;TEXT(G39,"#,###")&amp;" ÷ "&amp;G17&amp;" head)"</f>
        <v>($1,947 ÷ 32 head)</v>
      </c>
    </row>
    <row r="42" spans="1:13" s="1" customFormat="1" ht="15.5" x14ac:dyDescent="0.35">
      <c r="B42" s="1" t="s">
        <v>362</v>
      </c>
      <c r="C42" s="11">
        <f>IF((ROUND($D$4*$D$5,0)-$E$36)=0,0,C41/(ROUND($D$4*$D$5,0)-$E$36))</f>
        <v>2.8645896656534964</v>
      </c>
      <c r="D42" s="60" t="str">
        <f>"($"&amp;TEXT(C41,"#,###.##")&amp;" ÷ "&amp;(ROUND($D$4*$D$5,0)-$E$36)&amp;" days)"</f>
        <v>($60.16 ÷ 21 days)</v>
      </c>
      <c r="F42" s="202"/>
      <c r="G42" s="11">
        <f>IF((ROUND($D$4*$D$5,0)-$E$36)=0,0,G41/(ROUND($D$4*$D$5,0)-$E$36))</f>
        <v>2.8968749999999992</v>
      </c>
      <c r="H42" s="60" t="str">
        <f>"($"&amp;TEXT(G41,"#,###.##")&amp;" ÷ "&amp;(ROUND($D$4*$D$5,0)-$E$36)&amp;" days)"</f>
        <v>($60.83 ÷ 21 days)</v>
      </c>
    </row>
    <row r="43" spans="1:13" s="1" customFormat="1" ht="7.5" customHeight="1" x14ac:dyDescent="0.35">
      <c r="C43" s="202"/>
      <c r="F43" s="202"/>
      <c r="L43"/>
      <c r="M43"/>
    </row>
    <row r="57" spans="1:10" x14ac:dyDescent="0.25">
      <c r="J57" s="277"/>
    </row>
    <row r="64" spans="1:10" ht="15.5" x14ac:dyDescent="0.35">
      <c r="A64" s="12" t="s">
        <v>350</v>
      </c>
      <c r="B64" s="1"/>
      <c r="C64" s="202"/>
    </row>
    <row r="65" spans="1:8" ht="15.5" x14ac:dyDescent="0.35">
      <c r="A65" s="12"/>
      <c r="B65" s="1" t="str">
        <f>"Est. Breakeven removal date from pasture ("&amp;E65-C6&amp;" days)"</f>
        <v>Est. Breakeven removal date from pasture (119 days)</v>
      </c>
      <c r="E65" s="317">
        <f>$G$6-ROUND((C29/$D$8)/D17,0)</f>
        <v>44821</v>
      </c>
      <c r="F65" s="317"/>
      <c r="G65" s="249"/>
      <c r="H65" s="249"/>
    </row>
    <row r="66" spans="1:8" ht="15.5" x14ac:dyDescent="0.35">
      <c r="A66" s="12"/>
      <c r="B66" s="1" t="str">
        <f>"  (Removal Date Est. Indemnity = Est. Producer Premium)"</f>
        <v xml:space="preserve">  (Removal Date Est. Indemnity = Est. Producer Premium)</v>
      </c>
      <c r="C66" s="220"/>
    </row>
    <row r="67" spans="1:8" ht="7.5" customHeight="1" x14ac:dyDescent="0.35">
      <c r="A67" s="12"/>
      <c r="B67" s="1"/>
      <c r="C67" s="220"/>
    </row>
    <row r="68" spans="1:8" ht="15.5" x14ac:dyDescent="0.35">
      <c r="A68" s="12" t="s">
        <v>240</v>
      </c>
      <c r="C68" s="2"/>
      <c r="D68" s="3"/>
      <c r="E68" s="1"/>
      <c r="G68" s="3"/>
    </row>
    <row r="69" spans="1:8" ht="15.5" x14ac:dyDescent="0.35">
      <c r="A69" s="1" t="s">
        <v>227</v>
      </c>
      <c r="C69" s="158">
        <f>ROUND(C17*(VLOOKUP(B17,$L$4:$M$7,2,FALSE))*$G$4,0)</f>
        <v>546</v>
      </c>
      <c r="G69" s="158">
        <f>ROUND(G17*(VLOOKUP(B17,$L$4:$M$7,2,FALSE))*$G$4,0)</f>
        <v>186</v>
      </c>
    </row>
    <row r="70" spans="1:8" ht="15.5" x14ac:dyDescent="0.35">
      <c r="A70" s="1" t="s">
        <v>236</v>
      </c>
      <c r="C70" s="138">
        <f>ROUND(C69/C14,2)</f>
        <v>3.41</v>
      </c>
      <c r="G70" s="138">
        <f>ROUND(G69/G14,2)</f>
        <v>1.1599999999999999</v>
      </c>
    </row>
  </sheetData>
  <sheetProtection algorithmName="SHA-512" hashValue="vQLaezXvqt0cBx+mzabGMszV58KhC/TPgVGiTmINBNiiJ9Zjw7iUKCnz9uWp1xG6QJ/hS8Xu9WrnMQI0xJEMug==" saltValue="UkGEEQFa3NTlJT2Nfe3Kmg==" spinCount="100000" sheet="1" objects="1" scenarios="1"/>
  <mergeCells count="7">
    <mergeCell ref="A1:I1"/>
    <mergeCell ref="D7:E7"/>
    <mergeCell ref="C6:D6"/>
    <mergeCell ref="E35:F35"/>
    <mergeCell ref="E65:F65"/>
    <mergeCell ref="G8:I8"/>
    <mergeCell ref="G9:I9"/>
  </mergeCells>
  <dataValidations count="1">
    <dataValidation type="list" allowBlank="1" showInputMessage="1" showErrorMessage="1" sqref="B17" xr:uid="{00000000-0002-0000-0300-000000000000}">
      <formula1>$L$4:$L$7</formula1>
    </dataValidation>
  </dataValidations>
  <hyperlinks>
    <hyperlink ref="G8" r:id="rId1" display="MASC Patsure Days Insurance Factsheet" xr:uid="{00000000-0004-0000-0300-000000000000}"/>
    <hyperlink ref="G9" r:id="rId2" display="https://www.masc.mb.ca/masc.nsf/calculator_pasture_days.html" xr:uid="{00000000-0004-0000-0300-000001000000}"/>
    <hyperlink ref="G9:I9" r:id="rId3" display="MASC Pasture Days Insurance Calculator" xr:uid="{00000000-0004-0000-0300-000002000000}"/>
  </hyperlinks>
  <pageMargins left="0.70866141732283472" right="0.70866141732283472" top="0.74803149606299213" bottom="0.74803149606299213" header="0.31496062992125984" footer="0.31496062992125984"/>
  <pageSetup scale="67" firstPageNumber="4" orientation="portrait" useFirstPageNumber="1" horizontalDpi="1200" verticalDpi="1200" r:id="rId4"/>
  <headerFooter scaleWithDoc="0">
    <oddHeader>&amp;LGuidelines: Pasture Production Costs&amp;R&amp;P</oddHeader>
  </headerFooter>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T115"/>
  <sheetViews>
    <sheetView zoomScaleNormal="100" workbookViewId="0">
      <selection sqref="A1:L1"/>
    </sheetView>
  </sheetViews>
  <sheetFormatPr defaultColWidth="9.08984375" defaultRowHeight="12.5" x14ac:dyDescent="0.25"/>
  <cols>
    <col min="1" max="1" width="3.6328125" customWidth="1"/>
    <col min="2" max="2" width="17.6328125" customWidth="1"/>
    <col min="3" max="3" width="15.08984375" customWidth="1"/>
    <col min="4" max="4" width="16.08984375" customWidth="1"/>
    <col min="5" max="5" width="11.54296875" customWidth="1"/>
    <col min="6" max="6" width="12.08984375" customWidth="1"/>
    <col min="7" max="7" width="5.08984375" customWidth="1"/>
    <col min="8" max="8" width="11.54296875" customWidth="1"/>
    <col min="9" max="10" width="12.08984375" customWidth="1"/>
    <col min="11" max="11" width="10.08984375" bestFit="1" customWidth="1"/>
    <col min="12" max="12" width="10.54296875" customWidth="1"/>
    <col min="13" max="13" width="9.08984375" customWidth="1"/>
    <col min="14" max="14" width="7.1796875" customWidth="1"/>
    <col min="15" max="15" width="21" customWidth="1"/>
    <col min="16" max="16" width="13.81640625" customWidth="1"/>
    <col min="19" max="46" width="0" hidden="1" customWidth="1"/>
  </cols>
  <sheetData>
    <row r="1" spans="1:17" s="1" customFormat="1" ht="24" customHeight="1" x14ac:dyDescent="0.35">
      <c r="A1" s="312" t="s">
        <v>141</v>
      </c>
      <c r="B1" s="312"/>
      <c r="C1" s="312"/>
      <c r="D1" s="312"/>
      <c r="E1" s="312"/>
      <c r="F1" s="312"/>
      <c r="G1" s="312"/>
      <c r="H1" s="312"/>
      <c r="I1" s="312"/>
      <c r="J1" s="312"/>
      <c r="K1" s="312"/>
      <c r="L1" s="312"/>
    </row>
    <row r="2" spans="1:17" ht="9" customHeight="1" x14ac:dyDescent="0.35">
      <c r="C2" s="1"/>
      <c r="E2" s="1"/>
      <c r="F2" s="1"/>
      <c r="G2" s="1"/>
    </row>
    <row r="3" spans="1:17" ht="16" thickBot="1" x14ac:dyDescent="0.4">
      <c r="A3" s="12" t="s">
        <v>143</v>
      </c>
      <c r="B3" s="2"/>
      <c r="D3" s="1"/>
      <c r="E3" s="62" t="s">
        <v>105</v>
      </c>
      <c r="F3" s="61"/>
      <c r="G3" s="60"/>
      <c r="H3" s="62" t="s">
        <v>106</v>
      </c>
      <c r="I3" s="61"/>
      <c r="K3" s="143"/>
      <c r="L3" s="144"/>
      <c r="M3" s="144"/>
      <c r="N3" s="143"/>
      <c r="O3" s="144"/>
      <c r="P3" s="144"/>
      <c r="Q3" s="144"/>
    </row>
    <row r="4" spans="1:17" ht="15.5" x14ac:dyDescent="0.35">
      <c r="A4" s="1" t="s">
        <v>17</v>
      </c>
      <c r="D4" s="1"/>
      <c r="E4" s="4">
        <v>160</v>
      </c>
      <c r="F4" s="1" t="s">
        <v>20</v>
      </c>
      <c r="H4" s="4">
        <v>160</v>
      </c>
      <c r="I4" s="1" t="s">
        <v>20</v>
      </c>
      <c r="K4" s="144"/>
      <c r="L4" s="151"/>
      <c r="M4" s="144"/>
      <c r="N4" s="144"/>
      <c r="O4" s="144"/>
      <c r="P4" s="151"/>
      <c r="Q4" s="144"/>
    </row>
    <row r="5" spans="1:17" ht="15.5" x14ac:dyDescent="0.35">
      <c r="A5" s="1" t="s">
        <v>205</v>
      </c>
      <c r="C5" s="1"/>
      <c r="D5" s="13"/>
      <c r="E5" s="26">
        <f>'Fixed Cost Input'!E6</f>
        <v>1875</v>
      </c>
      <c r="F5" s="26">
        <f>'Fixed Cost Input'!F6</f>
        <v>300000</v>
      </c>
      <c r="G5" s="1"/>
      <c r="H5" s="26">
        <f>'Fixed Cost Input'!I6</f>
        <v>843.75</v>
      </c>
      <c r="I5" s="26">
        <f>'Fixed Cost Input'!J6</f>
        <v>135000</v>
      </c>
    </row>
    <row r="6" spans="1:17" ht="15.5" x14ac:dyDescent="0.35">
      <c r="K6" s="144"/>
      <c r="L6" s="71"/>
      <c r="M6" s="144"/>
      <c r="N6" s="144"/>
      <c r="O6" s="144"/>
      <c r="P6" s="71"/>
      <c r="Q6" s="144"/>
    </row>
    <row r="7" spans="1:17" ht="15.5" x14ac:dyDescent="0.35">
      <c r="E7" s="58" t="s">
        <v>91</v>
      </c>
      <c r="F7" s="38"/>
      <c r="H7" s="58" t="s">
        <v>91</v>
      </c>
      <c r="I7" s="38"/>
      <c r="K7" s="144"/>
      <c r="L7" s="146"/>
      <c r="M7" s="144"/>
      <c r="N7" s="144"/>
      <c r="O7" s="145"/>
      <c r="P7" s="146"/>
      <c r="Q7" s="144"/>
    </row>
    <row r="8" spans="1:17" ht="15.5" x14ac:dyDescent="0.35">
      <c r="A8" s="1" t="s">
        <v>40</v>
      </c>
      <c r="E8" s="4">
        <v>94</v>
      </c>
      <c r="F8" s="1" t="s">
        <v>111</v>
      </c>
      <c r="H8" s="4">
        <v>32</v>
      </c>
      <c r="I8" s="1" t="s">
        <v>111</v>
      </c>
      <c r="K8" s="144"/>
      <c r="L8" s="147"/>
      <c r="M8" s="144"/>
      <c r="N8" s="144"/>
      <c r="O8" s="144"/>
      <c r="P8" s="147"/>
      <c r="Q8" s="144"/>
    </row>
    <row r="9" spans="1:17" ht="15.5" x14ac:dyDescent="0.35">
      <c r="A9" s="1" t="s">
        <v>41</v>
      </c>
      <c r="E9" s="18">
        <f>ROUND(E8/E4,2)</f>
        <v>0.59</v>
      </c>
      <c r="F9" s="1" t="s">
        <v>112</v>
      </c>
      <c r="H9" s="18">
        <f>ROUND(H8/H4,2)</f>
        <v>0.2</v>
      </c>
      <c r="I9" s="1" t="s">
        <v>112</v>
      </c>
      <c r="K9" s="144"/>
      <c r="L9" s="148"/>
      <c r="N9" s="144"/>
      <c r="O9" s="144"/>
      <c r="P9" s="148"/>
    </row>
    <row r="10" spans="1:17" ht="15.5" x14ac:dyDescent="0.35">
      <c r="A10" s="1" t="s">
        <v>244</v>
      </c>
      <c r="E10" s="169">
        <f>ROUND(E4/E8,1)</f>
        <v>1.7</v>
      </c>
      <c r="F10" s="1" t="s">
        <v>243</v>
      </c>
      <c r="H10" s="169">
        <f>ROUND(H4/H8,1)</f>
        <v>5</v>
      </c>
      <c r="I10" s="1" t="s">
        <v>243</v>
      </c>
      <c r="K10" s="149"/>
      <c r="L10" s="150"/>
      <c r="M10" s="144"/>
      <c r="N10" s="149"/>
      <c r="O10" s="144"/>
      <c r="P10" s="150"/>
      <c r="Q10" s="144"/>
    </row>
    <row r="11" spans="1:17" ht="15.5" x14ac:dyDescent="0.35">
      <c r="A11" s="1"/>
      <c r="E11" s="18"/>
      <c r="F11" s="1"/>
      <c r="H11" s="18"/>
      <c r="I11" s="1"/>
      <c r="K11" s="149"/>
      <c r="L11" s="150"/>
      <c r="M11" s="144"/>
      <c r="N11" s="149"/>
      <c r="O11" s="144"/>
      <c r="P11" s="150"/>
      <c r="Q11" s="144"/>
    </row>
    <row r="12" spans="1:17" ht="17.25" customHeight="1" x14ac:dyDescent="0.35">
      <c r="A12" s="1" t="s">
        <v>36</v>
      </c>
      <c r="E12" s="4">
        <v>1350</v>
      </c>
      <c r="F12" s="1" t="s">
        <v>110</v>
      </c>
      <c r="H12" s="4">
        <v>1350</v>
      </c>
      <c r="I12" s="1" t="s">
        <v>110</v>
      </c>
      <c r="M12" s="144"/>
    </row>
    <row r="13" spans="1:17" ht="17.25" customHeight="1" x14ac:dyDescent="0.35">
      <c r="A13" s="1" t="s">
        <v>221</v>
      </c>
      <c r="E13" s="138">
        <f>ROUND((E12^0.75/1000^0.75),2)</f>
        <v>1.25</v>
      </c>
      <c r="F13" s="1"/>
      <c r="H13" s="138">
        <f>ROUND((H12^0.75/1000^0.75),2)</f>
        <v>1.25</v>
      </c>
      <c r="I13" s="1"/>
      <c r="M13" s="144"/>
    </row>
    <row r="14" spans="1:17" ht="17.25" customHeight="1" x14ac:dyDescent="0.35">
      <c r="A14" s="1"/>
      <c r="E14" s="3"/>
      <c r="F14" s="1"/>
      <c r="H14" s="3"/>
      <c r="I14" s="1"/>
    </row>
    <row r="15" spans="1:17" ht="15.5" x14ac:dyDescent="0.35">
      <c r="A15" s="1" t="s">
        <v>23</v>
      </c>
      <c r="C15" s="28" t="s">
        <v>24</v>
      </c>
      <c r="D15" s="2"/>
      <c r="E15" s="4">
        <v>135</v>
      </c>
      <c r="F15" s="1" t="s">
        <v>30</v>
      </c>
      <c r="H15" s="4">
        <v>135</v>
      </c>
      <c r="I15" s="1" t="s">
        <v>30</v>
      </c>
    </row>
    <row r="16" spans="1:17" ht="15" customHeight="1" x14ac:dyDescent="0.35">
      <c r="C16" s="28" t="s">
        <v>25</v>
      </c>
      <c r="D16" s="2"/>
      <c r="E16" s="3">
        <f>ROUND(E15/30,2)</f>
        <v>4.5</v>
      </c>
      <c r="F16" s="1" t="s">
        <v>31</v>
      </c>
      <c r="H16" s="3">
        <f>ROUND(H15/30,2)</f>
        <v>4.5</v>
      </c>
      <c r="I16" s="1" t="s">
        <v>31</v>
      </c>
    </row>
    <row r="17" spans="1:13" ht="15" customHeight="1" x14ac:dyDescent="0.35">
      <c r="C17" s="28"/>
      <c r="D17" s="2"/>
      <c r="E17" s="3"/>
      <c r="F17" s="1"/>
      <c r="H17" s="3"/>
      <c r="I17" s="1"/>
    </row>
    <row r="18" spans="1:13" ht="15" customHeight="1" x14ac:dyDescent="0.35">
      <c r="A18" s="12" t="s">
        <v>240</v>
      </c>
      <c r="C18" s="28"/>
      <c r="D18" s="2"/>
      <c r="E18" s="3"/>
      <c r="F18" s="1"/>
      <c r="H18" s="3"/>
      <c r="I18" s="1"/>
    </row>
    <row r="19" spans="1:13" ht="15.5" x14ac:dyDescent="0.35">
      <c r="A19" s="1" t="s">
        <v>227</v>
      </c>
      <c r="E19" s="158">
        <f>ROUND(E8*(E13)*E16,0)</f>
        <v>529</v>
      </c>
      <c r="H19" s="158">
        <f>ROUND(H8*(H13)*H16,0)</f>
        <v>180</v>
      </c>
    </row>
    <row r="20" spans="1:13" ht="15.5" x14ac:dyDescent="0.35">
      <c r="A20" s="1" t="s">
        <v>236</v>
      </c>
      <c r="E20" s="138">
        <f>ROUND(E19/E4,2)</f>
        <v>3.31</v>
      </c>
      <c r="H20" s="138">
        <f>ROUND(H19/H4,2)</f>
        <v>1.1299999999999999</v>
      </c>
    </row>
    <row r="21" spans="1:13" ht="15.5" x14ac:dyDescent="0.35">
      <c r="A21" s="1" t="s">
        <v>237</v>
      </c>
      <c r="C21" s="1"/>
      <c r="D21" s="1"/>
      <c r="E21" s="26">
        <f>'Fixed Cost Input'!F6/E19</f>
        <v>567.10775047258983</v>
      </c>
      <c r="F21" s="1"/>
      <c r="G21" s="1"/>
      <c r="H21" s="26">
        <f>'Fixed Cost Input'!J6/H19</f>
        <v>750</v>
      </c>
      <c r="K21" s="149"/>
    </row>
    <row r="22" spans="1:13" ht="15.5" x14ac:dyDescent="0.35">
      <c r="A22" s="1" t="s">
        <v>200</v>
      </c>
      <c r="E22" s="11">
        <f>ROUND(Summary!D45/Input!E19,2)</f>
        <v>33.83</v>
      </c>
      <c r="F22" s="1"/>
      <c r="G22" s="1"/>
      <c r="H22" s="11">
        <f>ROUND(Summary!H45/Input!H19,2)</f>
        <v>32.549999999999997</v>
      </c>
      <c r="K22" s="149"/>
    </row>
    <row r="23" spans="1:13" ht="15.5" x14ac:dyDescent="0.35">
      <c r="A23" s="3"/>
    </row>
    <row r="24" spans="1:13" ht="16.5" customHeight="1" x14ac:dyDescent="0.35">
      <c r="A24" s="12" t="s">
        <v>241</v>
      </c>
      <c r="B24" s="1"/>
      <c r="C24" s="1"/>
      <c r="D24" s="1"/>
      <c r="E24" s="53"/>
      <c r="F24" s="1"/>
      <c r="G24" s="1"/>
      <c r="H24" s="53"/>
      <c r="I24" s="2"/>
      <c r="J24" s="2"/>
      <c r="M24" s="1"/>
    </row>
    <row r="25" spans="1:13" ht="15.5" x14ac:dyDescent="0.35">
      <c r="A25" s="1" t="s">
        <v>44</v>
      </c>
      <c r="E25" s="158">
        <f>E12*E9</f>
        <v>796.5</v>
      </c>
      <c r="H25" s="158">
        <f>H12*H9</f>
        <v>270</v>
      </c>
      <c r="L25" s="2"/>
    </row>
    <row r="26" spans="1:13" ht="15.5" x14ac:dyDescent="0.35">
      <c r="A26" s="2" t="s">
        <v>72</v>
      </c>
      <c r="B26" s="2"/>
      <c r="C26" s="2"/>
      <c r="D26" s="2"/>
      <c r="E26" s="99">
        <f>$E$4*E25</f>
        <v>127440</v>
      </c>
      <c r="G26" s="2"/>
      <c r="H26" s="99">
        <f>Input!$H$4*H25</f>
        <v>43200</v>
      </c>
      <c r="L26" s="2"/>
    </row>
    <row r="27" spans="1:13" ht="15.75" customHeight="1" x14ac:dyDescent="0.35">
      <c r="A27" s="2"/>
      <c r="B27" s="2"/>
      <c r="C27" s="2"/>
      <c r="D27" s="2"/>
      <c r="E27" s="2"/>
      <c r="F27" s="2"/>
      <c r="G27" s="2"/>
      <c r="H27" s="2"/>
      <c r="L27" s="29"/>
      <c r="M27" s="1"/>
    </row>
    <row r="28" spans="1:13" ht="15.5" x14ac:dyDescent="0.35">
      <c r="A28" s="161" t="s">
        <v>266</v>
      </c>
      <c r="C28" s="1"/>
      <c r="D28" s="13"/>
      <c r="E28" s="91">
        <f>Summary!E39</f>
        <v>1.4094100000000003</v>
      </c>
      <c r="F28" s="1" t="s">
        <v>245</v>
      </c>
      <c r="G28" s="1"/>
      <c r="H28" s="91">
        <f>Summary!I39</f>
        <v>1.3553074602314814</v>
      </c>
      <c r="I28" s="1" t="s">
        <v>245</v>
      </c>
    </row>
    <row r="30" spans="1:13" s="1" customFormat="1" ht="24" customHeight="1" x14ac:dyDescent="0.35">
      <c r="A30" s="312" t="s">
        <v>162</v>
      </c>
      <c r="B30" s="312"/>
      <c r="C30" s="312"/>
      <c r="D30" s="312"/>
      <c r="E30" s="312"/>
      <c r="F30" s="312"/>
      <c r="G30" s="312"/>
      <c r="H30" s="312"/>
      <c r="I30" s="312"/>
      <c r="J30" s="312"/>
      <c r="K30" s="312"/>
      <c r="L30" s="312"/>
    </row>
    <row r="32" spans="1:13" ht="15.5" x14ac:dyDescent="0.35">
      <c r="D32" s="311" t="s">
        <v>105</v>
      </c>
      <c r="E32" s="311"/>
      <c r="F32" s="311"/>
      <c r="G32" s="60"/>
      <c r="H32" s="311" t="s">
        <v>106</v>
      </c>
      <c r="I32" s="311"/>
      <c r="J32" s="311"/>
    </row>
    <row r="33" spans="1:15" ht="31" x14ac:dyDescent="0.35">
      <c r="A33" s="58" t="s">
        <v>114</v>
      </c>
      <c r="B33" s="79"/>
      <c r="D33" s="65" t="s">
        <v>116</v>
      </c>
      <c r="E33" s="89" t="s">
        <v>113</v>
      </c>
      <c r="F33" s="58" t="s">
        <v>117</v>
      </c>
      <c r="G33" s="1"/>
      <c r="H33" s="65" t="s">
        <v>116</v>
      </c>
      <c r="I33" s="89" t="s">
        <v>113</v>
      </c>
      <c r="J33" s="58" t="s">
        <v>117</v>
      </c>
      <c r="M33" s="2"/>
    </row>
    <row r="34" spans="1:15" ht="15.5" x14ac:dyDescent="0.35">
      <c r="A34" s="20"/>
      <c r="B34" s="1" t="s">
        <v>142</v>
      </c>
      <c r="D34" s="7">
        <v>25</v>
      </c>
      <c r="E34" s="25">
        <v>3</v>
      </c>
      <c r="F34" s="11">
        <f>SUM(D34*E34)</f>
        <v>75</v>
      </c>
      <c r="G34" s="1"/>
      <c r="H34" s="7">
        <v>0</v>
      </c>
      <c r="I34" s="25">
        <v>0</v>
      </c>
      <c r="J34" s="11">
        <f>SUM(H34*I34)</f>
        <v>0</v>
      </c>
      <c r="K34" s="1"/>
    </row>
    <row r="35" spans="1:15" ht="15.5" x14ac:dyDescent="0.35">
      <c r="A35" s="20"/>
      <c r="B35" s="1" t="s">
        <v>115</v>
      </c>
      <c r="D35" s="7">
        <v>0</v>
      </c>
      <c r="E35" s="25">
        <v>0</v>
      </c>
      <c r="F35" s="11">
        <f>SUM(D35*E35)</f>
        <v>0</v>
      </c>
      <c r="G35" s="1"/>
      <c r="H35" s="7">
        <v>0</v>
      </c>
      <c r="I35" s="25">
        <v>0</v>
      </c>
      <c r="J35" s="11">
        <f>SUM(H35*I35)</f>
        <v>0</v>
      </c>
      <c r="K35" s="1"/>
    </row>
    <row r="36" spans="1:15" ht="15.5" x14ac:dyDescent="0.35">
      <c r="A36" s="20"/>
      <c r="B36" s="1" t="s">
        <v>118</v>
      </c>
      <c r="D36" s="7">
        <v>15</v>
      </c>
      <c r="E36" s="25">
        <v>2</v>
      </c>
      <c r="F36" s="11">
        <f>SUM(D36*E36)</f>
        <v>30</v>
      </c>
      <c r="G36" s="1"/>
      <c r="H36" s="7">
        <v>0</v>
      </c>
      <c r="I36" s="25">
        <v>0</v>
      </c>
      <c r="J36" s="11">
        <f>SUM(H36*I36)</f>
        <v>0</v>
      </c>
      <c r="K36" s="1"/>
    </row>
    <row r="37" spans="1:15" ht="15.5" x14ac:dyDescent="0.35">
      <c r="A37" s="20"/>
      <c r="B37" s="1" t="s">
        <v>3</v>
      </c>
      <c r="D37" s="7">
        <v>28</v>
      </c>
      <c r="E37" s="25">
        <v>1</v>
      </c>
      <c r="F37" s="11">
        <f>SUM(D37*E37)</f>
        <v>28</v>
      </c>
      <c r="G37" s="1"/>
      <c r="H37" s="7">
        <v>0</v>
      </c>
      <c r="I37" s="25">
        <v>0</v>
      </c>
      <c r="J37" s="11">
        <f>SUM(H37*I37)</f>
        <v>0</v>
      </c>
    </row>
    <row r="38" spans="1:15" ht="15.5" x14ac:dyDescent="0.35">
      <c r="A38" s="20"/>
      <c r="B38" s="1" t="s">
        <v>161</v>
      </c>
      <c r="D38" s="7">
        <v>0</v>
      </c>
      <c r="E38" s="25">
        <v>0</v>
      </c>
      <c r="F38" s="88">
        <f>SUM(D38*E38)</f>
        <v>0</v>
      </c>
      <c r="G38" s="1"/>
      <c r="H38" s="7">
        <v>0</v>
      </c>
      <c r="I38" s="25">
        <v>0</v>
      </c>
      <c r="J38" s="88">
        <f>SUM(H38*I38)</f>
        <v>0</v>
      </c>
    </row>
    <row r="39" spans="1:15" ht="15.5" x14ac:dyDescent="0.35">
      <c r="A39" s="20"/>
      <c r="B39" s="1"/>
      <c r="C39" s="7"/>
      <c r="D39" s="25"/>
      <c r="E39" s="11"/>
      <c r="F39" s="11">
        <f>SUM(F34:F38)</f>
        <v>133</v>
      </c>
      <c r="G39" s="1"/>
      <c r="H39" s="19"/>
      <c r="I39" s="1"/>
      <c r="J39" s="11">
        <f>SUM(J34:J38)</f>
        <v>0</v>
      </c>
    </row>
    <row r="40" spans="1:15" ht="15.5" x14ac:dyDescent="0.35">
      <c r="A40" s="20"/>
      <c r="B40" s="1"/>
      <c r="C40" s="7"/>
      <c r="D40" s="25"/>
      <c r="E40" s="11"/>
      <c r="F40" s="11"/>
      <c r="G40" s="1"/>
      <c r="H40" s="19"/>
      <c r="I40" s="1"/>
      <c r="J40" s="11"/>
    </row>
    <row r="41" spans="1:15" ht="15.5" x14ac:dyDescent="0.35">
      <c r="A41" s="3" t="s">
        <v>153</v>
      </c>
      <c r="D41" s="1"/>
      <c r="E41" s="4">
        <v>10</v>
      </c>
      <c r="F41" s="1" t="s">
        <v>35</v>
      </c>
      <c r="G41" s="1"/>
      <c r="H41" s="4">
        <v>10</v>
      </c>
      <c r="I41" s="1" t="s">
        <v>35</v>
      </c>
      <c r="J41" s="1"/>
    </row>
    <row r="42" spans="1:15" ht="15.5" x14ac:dyDescent="0.35">
      <c r="A42" s="1"/>
      <c r="B42" s="170" t="s">
        <v>158</v>
      </c>
      <c r="D42" s="1"/>
      <c r="E42" s="4"/>
      <c r="F42" s="1"/>
      <c r="G42" s="1"/>
      <c r="H42" s="4"/>
      <c r="I42" s="1"/>
      <c r="J42" s="1"/>
    </row>
    <row r="43" spans="1:15" s="1" customFormat="1" ht="24" customHeight="1" x14ac:dyDescent="0.35">
      <c r="A43" s="312" t="s">
        <v>163</v>
      </c>
      <c r="B43" s="312"/>
      <c r="C43" s="312"/>
      <c r="D43" s="312"/>
      <c r="E43" s="312"/>
      <c r="F43" s="312"/>
      <c r="G43" s="312"/>
      <c r="H43" s="312"/>
      <c r="I43" s="312"/>
      <c r="J43" s="312"/>
      <c r="K43" s="312"/>
      <c r="L43" s="312"/>
      <c r="M43"/>
      <c r="N43"/>
      <c r="O43"/>
    </row>
    <row r="44" spans="1:15" ht="15.75" customHeight="1" x14ac:dyDescent="0.35">
      <c r="A44" s="20"/>
      <c r="B44" s="2"/>
      <c r="E44" s="25"/>
      <c r="F44" s="1"/>
      <c r="G44" s="1"/>
      <c r="H44" s="25"/>
      <c r="I44" s="1"/>
      <c r="J44" s="1"/>
    </row>
    <row r="45" spans="1:15" s="1" customFormat="1" ht="15.5" x14ac:dyDescent="0.35">
      <c r="D45" s="80" t="s">
        <v>144</v>
      </c>
      <c r="F45" s="80" t="s">
        <v>145</v>
      </c>
      <c r="I45" s="80" t="s">
        <v>146</v>
      </c>
    </row>
    <row r="46" spans="1:15" s="1" customFormat="1" ht="15.5" x14ac:dyDescent="0.35">
      <c r="A46" s="81"/>
      <c r="D46" s="82" t="s">
        <v>147</v>
      </c>
      <c r="F46" s="82" t="s">
        <v>148</v>
      </c>
      <c r="I46" s="82" t="s">
        <v>147</v>
      </c>
    </row>
    <row r="47" spans="1:15" s="1" customFormat="1" ht="15.5" x14ac:dyDescent="0.35">
      <c r="A47" s="75" t="s">
        <v>136</v>
      </c>
      <c r="D47" s="25"/>
      <c r="F47" s="84"/>
      <c r="I47" s="73"/>
    </row>
    <row r="48" spans="1:15" s="1" customFormat="1" ht="15.5" x14ac:dyDescent="0.35">
      <c r="B48" s="60" t="s">
        <v>226</v>
      </c>
      <c r="D48" s="4">
        <v>10</v>
      </c>
      <c r="E48" s="1" t="s">
        <v>149</v>
      </c>
      <c r="F48" s="83">
        <v>4.25</v>
      </c>
      <c r="G48" s="1" t="s">
        <v>151</v>
      </c>
      <c r="I48" s="73">
        <f>ROUND(D48*F48,2)</f>
        <v>42.5</v>
      </c>
    </row>
    <row r="49" spans="1:46" s="1" customFormat="1" ht="15.5" x14ac:dyDescent="0.35">
      <c r="B49" s="60" t="s">
        <v>135</v>
      </c>
      <c r="D49" s="85">
        <v>1.25</v>
      </c>
      <c r="E49" s="1" t="s">
        <v>152</v>
      </c>
      <c r="F49" s="83">
        <v>9</v>
      </c>
      <c r="G49" s="1" t="s">
        <v>150</v>
      </c>
      <c r="I49" s="73">
        <f>ROUND(D49*F49,2)</f>
        <v>11.25</v>
      </c>
    </row>
    <row r="50" spans="1:46" s="1" customFormat="1" ht="15.5" x14ac:dyDescent="0.35">
      <c r="A50" s="74" t="s">
        <v>137</v>
      </c>
      <c r="D50" s="4">
        <v>0</v>
      </c>
      <c r="E50" s="1" t="s">
        <v>149</v>
      </c>
      <c r="F50" s="83">
        <v>0</v>
      </c>
      <c r="G50" s="1" t="s">
        <v>151</v>
      </c>
      <c r="I50" s="73">
        <f>ROUND(D50*F50,2)</f>
        <v>0</v>
      </c>
    </row>
    <row r="51" spans="1:46" ht="15.75" customHeight="1" x14ac:dyDescent="0.35">
      <c r="A51" s="20"/>
      <c r="B51" s="2"/>
      <c r="E51" s="25"/>
      <c r="F51" s="1"/>
      <c r="G51" s="1"/>
      <c r="H51" s="25"/>
      <c r="I51" s="1"/>
      <c r="J51" s="1"/>
    </row>
    <row r="52" spans="1:46" s="1" customFormat="1" ht="24" customHeight="1" x14ac:dyDescent="0.4">
      <c r="A52" s="320" t="s">
        <v>140</v>
      </c>
      <c r="B52" s="321"/>
      <c r="C52" s="321"/>
      <c r="D52" s="321"/>
      <c r="E52" s="321"/>
      <c r="F52" s="321"/>
      <c r="G52" s="321"/>
      <c r="H52" s="321"/>
      <c r="I52" s="321"/>
      <c r="J52" s="321"/>
      <c r="K52" s="321"/>
      <c r="L52" s="321"/>
      <c r="M52"/>
      <c r="N52"/>
      <c r="O52"/>
      <c r="P52" s="66"/>
    </row>
    <row r="53" spans="1:46" s="1" customFormat="1" ht="15.5" x14ac:dyDescent="0.35">
      <c r="D53" s="17" t="s">
        <v>119</v>
      </c>
      <c r="F53" s="17" t="s">
        <v>120</v>
      </c>
      <c r="H53" s="17" t="s">
        <v>38</v>
      </c>
      <c r="J53" s="17" t="s">
        <v>121</v>
      </c>
      <c r="M53" s="67"/>
    </row>
    <row r="54" spans="1:46" s="1" customFormat="1" ht="15.5" x14ac:dyDescent="0.35">
      <c r="A54" s="12" t="s">
        <v>122</v>
      </c>
      <c r="D54" s="12" t="s">
        <v>123</v>
      </c>
      <c r="F54" s="15" t="s">
        <v>21</v>
      </c>
      <c r="H54" s="15" t="s">
        <v>124</v>
      </c>
      <c r="J54" s="15" t="s">
        <v>124</v>
      </c>
    </row>
    <row r="55" spans="1:46" s="1" customFormat="1" ht="15.5" x14ac:dyDescent="0.35">
      <c r="A55" s="1" t="s">
        <v>125</v>
      </c>
      <c r="D55" s="179">
        <v>900</v>
      </c>
      <c r="E55" s="68"/>
      <c r="F55" s="69">
        <f>SUM(D55/(2204.5855*0.46))</f>
        <v>0.8874782761341915</v>
      </c>
      <c r="H55" s="71">
        <v>1</v>
      </c>
      <c r="J55" s="72" t="s">
        <v>126</v>
      </c>
    </row>
    <row r="56" spans="1:46" s="1" customFormat="1" ht="15.5" x14ac:dyDescent="0.35">
      <c r="A56" s="1" t="s">
        <v>127</v>
      </c>
      <c r="D56" s="179">
        <v>1300</v>
      </c>
      <c r="F56" s="69">
        <f>SUM(D56/(2204.5855*0.82))</f>
        <v>0.71912196358840996</v>
      </c>
      <c r="H56" s="71">
        <v>0</v>
      </c>
      <c r="J56" s="72" t="s">
        <v>126</v>
      </c>
    </row>
    <row r="57" spans="1:46" s="1" customFormat="1" ht="15.5" x14ac:dyDescent="0.35">
      <c r="A57" s="1" t="s">
        <v>128</v>
      </c>
      <c r="D57" s="179">
        <v>550</v>
      </c>
      <c r="F57" s="69">
        <f>SUM(D57/(2204.5855*0.28))</f>
        <v>0.89100001532520001</v>
      </c>
      <c r="H57" s="71">
        <v>0</v>
      </c>
      <c r="J57" s="72" t="s">
        <v>126</v>
      </c>
    </row>
    <row r="58" spans="1:46" s="1" customFormat="1" ht="15.5" x14ac:dyDescent="0.35">
      <c r="A58" s="1" t="s">
        <v>129</v>
      </c>
      <c r="D58" s="179">
        <v>1250</v>
      </c>
      <c r="F58" s="69">
        <f>SUM((D58-(F55*(0.11*2204.5855)))/(2204.5855*0.52))</f>
        <v>0.90264884495699815</v>
      </c>
      <c r="H58" s="72" t="s">
        <v>126</v>
      </c>
      <c r="J58" s="72" t="s">
        <v>126</v>
      </c>
    </row>
    <row r="59" spans="1:46" s="1" customFormat="1" ht="15.5" x14ac:dyDescent="0.35">
      <c r="A59" s="1" t="s">
        <v>130</v>
      </c>
      <c r="D59" s="179">
        <v>650</v>
      </c>
      <c r="F59" s="69">
        <f>SUM(D59/(2204.5855*0.6))</f>
        <v>0.49140000845208009</v>
      </c>
      <c r="H59" s="72" t="s">
        <v>126</v>
      </c>
      <c r="J59" s="72" t="s">
        <v>126</v>
      </c>
    </row>
    <row r="60" spans="1:46" s="1" customFormat="1" ht="15.5" x14ac:dyDescent="0.35">
      <c r="A60" s="1" t="s">
        <v>131</v>
      </c>
      <c r="D60" s="179">
        <v>850</v>
      </c>
      <c r="F60" s="69">
        <f>SUM((D60-(F55*(0.205*2204.5855)))/(2204.5855*0.24))</f>
        <v>0.8484456667671787</v>
      </c>
      <c r="H60" s="72" t="s">
        <v>126</v>
      </c>
      <c r="J60" s="71">
        <v>1</v>
      </c>
    </row>
    <row r="61" spans="1:46" s="1" customFormat="1" ht="17.5" x14ac:dyDescent="0.35">
      <c r="A61" s="1" t="s">
        <v>271</v>
      </c>
      <c r="B61" s="35"/>
      <c r="D61" s="179">
        <v>1220</v>
      </c>
      <c r="E61" s="187"/>
      <c r="F61" s="69">
        <f>SUM((D61-(F55*(0.13*2204.5855))-(F58*(0.33*2204.5855)))/(2204.5855*0.15))</f>
        <v>0.93430476523392147</v>
      </c>
      <c r="H61" s="72" t="s">
        <v>126</v>
      </c>
      <c r="J61" s="71">
        <v>0</v>
      </c>
      <c r="K61" s="188"/>
    </row>
    <row r="62" spans="1:46" s="1" customFormat="1" ht="7.5" customHeight="1" x14ac:dyDescent="0.35">
      <c r="B62" s="35"/>
      <c r="D62" s="179"/>
      <c r="E62" s="187"/>
      <c r="F62" s="69"/>
      <c r="G62" s="188"/>
      <c r="H62" s="188"/>
      <c r="I62" s="72"/>
      <c r="J62" s="188"/>
      <c r="K62" s="188"/>
      <c r="L62" s="71"/>
      <c r="S62" s="189" t="s">
        <v>272</v>
      </c>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44"/>
    </row>
    <row r="63" spans="1:46" s="1" customFormat="1" ht="16" thickBot="1" x14ac:dyDescent="0.4">
      <c r="B63" s="14"/>
      <c r="C63" s="311" t="s">
        <v>132</v>
      </c>
      <c r="D63" s="311"/>
      <c r="E63" s="311"/>
      <c r="F63" s="311"/>
      <c r="G63" s="311"/>
      <c r="H63" s="311"/>
      <c r="I63" s="311"/>
      <c r="J63" s="311"/>
      <c r="K63" s="311"/>
      <c r="L63" s="3"/>
      <c r="M63"/>
      <c r="N63"/>
      <c r="S63" s="144"/>
      <c r="T63" s="144" t="s">
        <v>273</v>
      </c>
      <c r="U63" s="144"/>
      <c r="V63" s="144"/>
      <c r="W63" s="144"/>
      <c r="X63" s="144" t="s">
        <v>274</v>
      </c>
      <c r="Y63" s="144"/>
      <c r="Z63" s="144"/>
      <c r="AA63" s="144"/>
      <c r="AB63" s="144"/>
      <c r="AC63" s="144"/>
      <c r="AD63" s="144" t="s">
        <v>275</v>
      </c>
      <c r="AE63" s="144"/>
      <c r="AF63" s="144"/>
      <c r="AG63" s="144"/>
      <c r="AH63" s="144" t="s">
        <v>276</v>
      </c>
      <c r="AI63" s="144"/>
      <c r="AJ63" s="144"/>
      <c r="AK63" s="144" t="s">
        <v>277</v>
      </c>
      <c r="AL63" s="144"/>
      <c r="AM63" s="144"/>
      <c r="AN63" s="144" t="s">
        <v>278</v>
      </c>
      <c r="AO63" s="144"/>
      <c r="AP63" s="144"/>
      <c r="AQ63" s="144" t="s">
        <v>279</v>
      </c>
      <c r="AR63" s="144"/>
      <c r="AS63" s="144"/>
      <c r="AT63" s="144"/>
    </row>
    <row r="64" spans="1:46" s="1" customFormat="1" ht="15.5" x14ac:dyDescent="0.35">
      <c r="C64" s="319" t="s">
        <v>38</v>
      </c>
      <c r="D64" s="319"/>
      <c r="E64" s="319" t="s">
        <v>133</v>
      </c>
      <c r="F64" s="319"/>
      <c r="H64" s="319" t="s">
        <v>39</v>
      </c>
      <c r="I64" s="319"/>
      <c r="J64" s="319" t="s">
        <v>121</v>
      </c>
      <c r="K64" s="319"/>
      <c r="L64" s="17" t="s">
        <v>7</v>
      </c>
      <c r="S64" s="191" t="s">
        <v>280</v>
      </c>
      <c r="T64" s="192" t="s">
        <v>280</v>
      </c>
      <c r="U64" s="193" t="s">
        <v>280</v>
      </c>
      <c r="V64" s="194" t="s">
        <v>280</v>
      </c>
      <c r="W64" s="191" t="s">
        <v>281</v>
      </c>
      <c r="X64" s="192" t="s">
        <v>281</v>
      </c>
      <c r="Y64" s="193" t="s">
        <v>281</v>
      </c>
      <c r="Z64" s="194" t="s">
        <v>281</v>
      </c>
      <c r="AA64" s="192" t="s">
        <v>282</v>
      </c>
      <c r="AB64" s="193" t="s">
        <v>283</v>
      </c>
      <c r="AC64" s="193" t="s">
        <v>283</v>
      </c>
      <c r="AD64" s="191" t="s">
        <v>283</v>
      </c>
      <c r="AE64" s="192" t="s">
        <v>283</v>
      </c>
      <c r="AF64" s="193" t="s">
        <v>283</v>
      </c>
      <c r="AG64" s="194" t="s">
        <v>283</v>
      </c>
      <c r="AH64" s="192" t="s">
        <v>283</v>
      </c>
      <c r="AI64" s="193" t="s">
        <v>283</v>
      </c>
      <c r="AJ64" s="194" t="s">
        <v>283</v>
      </c>
      <c r="AK64" s="192" t="s">
        <v>282</v>
      </c>
      <c r="AL64" s="193" t="s">
        <v>283</v>
      </c>
      <c r="AM64" s="194" t="s">
        <v>283</v>
      </c>
      <c r="AN64" s="192" t="s">
        <v>282</v>
      </c>
      <c r="AO64" s="193" t="s">
        <v>283</v>
      </c>
      <c r="AP64" s="194" t="s">
        <v>283</v>
      </c>
      <c r="AQ64" s="192" t="s">
        <v>282</v>
      </c>
      <c r="AR64" s="193" t="s">
        <v>283</v>
      </c>
      <c r="AS64" s="194" t="s">
        <v>283</v>
      </c>
      <c r="AT64" s="144" t="s">
        <v>284</v>
      </c>
    </row>
    <row r="65" spans="1:46" s="1" customFormat="1" ht="15.5" x14ac:dyDescent="0.35">
      <c r="A65" s="12"/>
      <c r="C65" s="15" t="s">
        <v>134</v>
      </c>
      <c r="D65" s="15" t="s">
        <v>22</v>
      </c>
      <c r="E65" s="15" t="s">
        <v>134</v>
      </c>
      <c r="F65" s="15" t="s">
        <v>22</v>
      </c>
      <c r="G65" s="15"/>
      <c r="H65" s="15" t="s">
        <v>134</v>
      </c>
      <c r="I65" s="15" t="s">
        <v>22</v>
      </c>
      <c r="J65" s="15" t="s">
        <v>134</v>
      </c>
      <c r="K65" s="15" t="s">
        <v>22</v>
      </c>
      <c r="L65" s="15" t="s">
        <v>22</v>
      </c>
      <c r="S65" s="195" t="s">
        <v>285</v>
      </c>
      <c r="T65" s="196" t="s">
        <v>286</v>
      </c>
      <c r="U65" s="144" t="s">
        <v>287</v>
      </c>
      <c r="V65" s="197" t="s">
        <v>288</v>
      </c>
      <c r="W65" s="195" t="s">
        <v>285</v>
      </c>
      <c r="X65" s="196" t="s">
        <v>286</v>
      </c>
      <c r="Y65" s="144" t="s">
        <v>287</v>
      </c>
      <c r="Z65" s="197" t="s">
        <v>288</v>
      </c>
      <c r="AA65" s="196" t="s">
        <v>284</v>
      </c>
      <c r="AB65" s="198" t="s">
        <v>289</v>
      </c>
      <c r="AC65" s="198" t="s">
        <v>290</v>
      </c>
      <c r="AD65" s="195" t="s">
        <v>291</v>
      </c>
      <c r="AE65" s="196" t="s">
        <v>286</v>
      </c>
      <c r="AF65" s="144" t="s">
        <v>287</v>
      </c>
      <c r="AG65" s="197" t="s">
        <v>288</v>
      </c>
      <c r="AH65" s="196" t="s">
        <v>292</v>
      </c>
      <c r="AI65" s="144" t="s">
        <v>293</v>
      </c>
      <c r="AJ65" s="197" t="s">
        <v>294</v>
      </c>
      <c r="AK65" s="196" t="s">
        <v>295</v>
      </c>
      <c r="AL65" s="144" t="s">
        <v>296</v>
      </c>
      <c r="AM65" s="197" t="s">
        <v>297</v>
      </c>
      <c r="AN65" s="196" t="s">
        <v>298</v>
      </c>
      <c r="AO65" s="144" t="s">
        <v>299</v>
      </c>
      <c r="AP65" s="197" t="s">
        <v>300</v>
      </c>
      <c r="AQ65" s="196" t="s">
        <v>301</v>
      </c>
      <c r="AR65" s="144" t="s">
        <v>302</v>
      </c>
      <c r="AS65" s="197" t="s">
        <v>303</v>
      </c>
      <c r="AT65" s="144" t="s">
        <v>134</v>
      </c>
    </row>
    <row r="66" spans="1:46" s="1" customFormat="1" ht="15.5" x14ac:dyDescent="0.35">
      <c r="A66" s="75" t="s">
        <v>136</v>
      </c>
      <c r="C66" s="78"/>
      <c r="D66" s="72"/>
      <c r="E66" s="78"/>
      <c r="F66" s="72"/>
      <c r="G66" s="28"/>
      <c r="H66" s="78"/>
      <c r="I66" s="72"/>
      <c r="J66" s="78"/>
      <c r="K66" s="72"/>
      <c r="L66" s="77"/>
      <c r="S66" s="199">
        <f>SUM(C66*$H$56)</f>
        <v>0</v>
      </c>
      <c r="T66" s="1">
        <f>MAXA(0,(S66)/(0.82))</f>
        <v>0</v>
      </c>
      <c r="U66" s="1">
        <f>(T66)/2204.6</f>
        <v>0</v>
      </c>
      <c r="V66" s="11">
        <f>SUM(U66*$D$56)</f>
        <v>0</v>
      </c>
      <c r="W66" s="199">
        <f>SUM(C66*$H$57)</f>
        <v>0</v>
      </c>
      <c r="X66" s="1">
        <f>MAXA(0,(W66)/(0.28))</f>
        <v>0</v>
      </c>
      <c r="Y66" s="1">
        <f>(X66)/2204.6</f>
        <v>0</v>
      </c>
      <c r="Z66" s="11">
        <f>SUM(Y66*$D$57)</f>
        <v>0</v>
      </c>
      <c r="AA66" s="1">
        <f>SUM(AH66*0.11)</f>
        <v>0</v>
      </c>
      <c r="AB66" s="1">
        <f>SUM(AN66*0.205)</f>
        <v>0</v>
      </c>
      <c r="AC66" s="1">
        <f>SUM(AQ66*0.13)</f>
        <v>0</v>
      </c>
      <c r="AD66" s="1">
        <f>SUM(C66-(AA66+AB66+AC66+W66+S66))</f>
        <v>0</v>
      </c>
      <c r="AE66" s="1">
        <f>MAXA(0,(AD66)/(0.46))</f>
        <v>0</v>
      </c>
      <c r="AF66" s="1">
        <f>(AE66)/2204.6</f>
        <v>0</v>
      </c>
      <c r="AG66" s="11">
        <f>SUM(AF66*$D$55)</f>
        <v>0</v>
      </c>
      <c r="AH66" s="1">
        <f>MAXA(0,(E66-(AQ66*0.33))/0.52)</f>
        <v>0</v>
      </c>
      <c r="AI66" s="1">
        <f>(AH66)/2204.6</f>
        <v>0</v>
      </c>
      <c r="AJ66" s="11">
        <f>SUM(AI66*$D$58)</f>
        <v>0</v>
      </c>
      <c r="AK66" s="1">
        <f>SUM(H66/0.6)</f>
        <v>0</v>
      </c>
      <c r="AL66" s="1">
        <f>(AK66)/2204.6</f>
        <v>0</v>
      </c>
      <c r="AM66" s="11">
        <f>SUM(AL66*$D$59)</f>
        <v>0</v>
      </c>
      <c r="AN66" s="1">
        <f>MAXA(0,SUM(J66*$J$60)/0.24)</f>
        <v>0</v>
      </c>
      <c r="AO66" s="1">
        <f>(AN66)/2204.6</f>
        <v>0</v>
      </c>
      <c r="AP66" s="11">
        <f>SUM(AO66*$D$60)</f>
        <v>0</v>
      </c>
      <c r="AQ66" s="18">
        <f>MAXA(0,SUM(J66*$J$61)/0.15)</f>
        <v>0</v>
      </c>
      <c r="AR66" s="1">
        <f>(AQ66)/2204.6</f>
        <v>0</v>
      </c>
      <c r="AS66" s="11">
        <f>SUM(AR66*$D$61)</f>
        <v>0</v>
      </c>
    </row>
    <row r="67" spans="1:46" s="1" customFormat="1" ht="15.5" x14ac:dyDescent="0.35">
      <c r="B67" s="140" t="s">
        <v>224</v>
      </c>
      <c r="C67" s="76">
        <v>50</v>
      </c>
      <c r="D67" s="72">
        <f>IF(SUM($H$55:$H$57)&lt;&gt;100%,"ERROR",SUM(V67+Z67+AG67))</f>
        <v>44.373621952518249</v>
      </c>
      <c r="E67" s="76">
        <v>0</v>
      </c>
      <c r="F67" s="72">
        <f>AJ67</f>
        <v>0</v>
      </c>
      <c r="G67" s="28"/>
      <c r="H67" s="76">
        <v>0</v>
      </c>
      <c r="I67" s="72">
        <f>AM67</f>
        <v>0</v>
      </c>
      <c r="J67" s="76">
        <v>0</v>
      </c>
      <c r="K67" s="72">
        <f>IF(SUM($J$60:$J$61)&lt;&gt;100%,"ERROR",AP67+AS67)</f>
        <v>0</v>
      </c>
      <c r="L67" s="77">
        <f>D67+F67+I67+K67</f>
        <v>44.373621952518249</v>
      </c>
      <c r="S67" s="199">
        <f>SUM(C67*$H$56)</f>
        <v>0</v>
      </c>
      <c r="T67" s="1">
        <f>MAXA(0,(S67)/(0.82))</f>
        <v>0</v>
      </c>
      <c r="U67" s="1">
        <f>(T67)/2204.6</f>
        <v>0</v>
      </c>
      <c r="V67" s="11">
        <f>SUM(U67*$D$56)</f>
        <v>0</v>
      </c>
      <c r="W67" s="199">
        <f>SUM(C67*$H$57)</f>
        <v>0</v>
      </c>
      <c r="X67" s="1">
        <f>MAXA(0,(W67)/(0.28))</f>
        <v>0</v>
      </c>
      <c r="Y67" s="1">
        <f>(X67)/2204.6</f>
        <v>0</v>
      </c>
      <c r="Z67" s="11">
        <f>SUM(Y67*$D$57)</f>
        <v>0</v>
      </c>
      <c r="AA67" s="1">
        <f>SUM(AH67*0.11)</f>
        <v>0</v>
      </c>
      <c r="AB67" s="1">
        <f>SUM(AN67*0.205)</f>
        <v>0</v>
      </c>
      <c r="AC67" s="1">
        <f>SUM(AQ67*0.13)</f>
        <v>0</v>
      </c>
      <c r="AD67" s="1">
        <f>SUM(C67-(AA67+AB67+AC67+W67+S67))</f>
        <v>50</v>
      </c>
      <c r="AE67" s="1">
        <f>MAXA(0,(AD67)/(0.46))</f>
        <v>108.69565217391303</v>
      </c>
      <c r="AF67" s="1">
        <f>(AE67)/2204.6</f>
        <v>4.9304024391686942E-2</v>
      </c>
      <c r="AG67" s="11">
        <f>SUM(AF67*$D$55)</f>
        <v>44.373621952518249</v>
      </c>
      <c r="AH67" s="1">
        <f>MAXA(0,(E67-(AQ67*0.33))/0.52)</f>
        <v>0</v>
      </c>
      <c r="AI67" s="1">
        <f>(AH67)/2204.6</f>
        <v>0</v>
      </c>
      <c r="AJ67" s="11">
        <f>SUM(AI67*$D$58)</f>
        <v>0</v>
      </c>
      <c r="AK67" s="1">
        <f>SUM(H67/0.6)</f>
        <v>0</v>
      </c>
      <c r="AL67" s="1">
        <f>(AK67)/2204.6</f>
        <v>0</v>
      </c>
      <c r="AM67" s="11">
        <f>SUM(AL67*$D$59)</f>
        <v>0</v>
      </c>
      <c r="AN67" s="1">
        <f>MAXA(0,SUM(J67*$J$60)/0.24)</f>
        <v>0</v>
      </c>
      <c r="AO67" s="1">
        <f>(AN67)/2204.6</f>
        <v>0</v>
      </c>
      <c r="AP67" s="11">
        <f>SUM(AO67*$D$60)</f>
        <v>0</v>
      </c>
      <c r="AQ67" s="18">
        <f>MAXA(0,SUM(J67*$J$61)/0.15)</f>
        <v>0</v>
      </c>
      <c r="AR67" s="1">
        <f>(AQ67)/2204.6</f>
        <v>0</v>
      </c>
      <c r="AS67" s="11">
        <f>SUM(AR67*$D$61)</f>
        <v>0</v>
      </c>
    </row>
    <row r="68" spans="1:46" s="1" customFormat="1" ht="15.5" x14ac:dyDescent="0.35">
      <c r="B68" s="140" t="s">
        <v>139</v>
      </c>
      <c r="C68" s="76">
        <v>50</v>
      </c>
      <c r="D68" s="72">
        <f>IF(SUM($H$55:$H$57)&lt;&gt;100%,"ERROR",SUM(V68+Z68+AG68))</f>
        <v>23.616153606460436</v>
      </c>
      <c r="E68" s="76">
        <v>50</v>
      </c>
      <c r="F68" s="72">
        <f>AJ68</f>
        <v>54.518873125423063</v>
      </c>
      <c r="G68" s="28"/>
      <c r="H68" s="76">
        <v>30</v>
      </c>
      <c r="I68" s="72">
        <f>AM68</f>
        <v>14.741903293114397</v>
      </c>
      <c r="J68" s="76">
        <v>15</v>
      </c>
      <c r="K68" s="72">
        <f>IF(SUM($J$60:$J$61)&lt;&gt;100%,"ERROR",AP68+AS68)</f>
        <v>24.097341921436996</v>
      </c>
      <c r="L68" s="77">
        <f>D68+F68+I68+K68</f>
        <v>116.9742719464349</v>
      </c>
      <c r="S68" s="199">
        <f>SUM(C68*$H$56)</f>
        <v>0</v>
      </c>
      <c r="T68" s="1">
        <f>MAXA(0,(S68)/(0.82))</f>
        <v>0</v>
      </c>
      <c r="U68" s="1">
        <f>(T68)/2204.6</f>
        <v>0</v>
      </c>
      <c r="V68" s="11">
        <f>SUM(U68*$D$56)</f>
        <v>0</v>
      </c>
      <c r="W68" s="199">
        <f>SUM(C68*$H$57)</f>
        <v>0</v>
      </c>
      <c r="X68" s="1">
        <f>MAXA(0,(W68)/(0.28))</f>
        <v>0</v>
      </c>
      <c r="Y68" s="1">
        <f>(X68)/2204.6</f>
        <v>0</v>
      </c>
      <c r="Z68" s="11">
        <f>SUM(Y68*$D$57)</f>
        <v>0</v>
      </c>
      <c r="AA68" s="1">
        <f>SUM(AH68*0.11)</f>
        <v>10.576923076923077</v>
      </c>
      <c r="AB68" s="1">
        <f>SUM(AN68*0.205)</f>
        <v>12.8125</v>
      </c>
      <c r="AC68" s="1">
        <f>SUM(AQ68*0.13)</f>
        <v>0</v>
      </c>
      <c r="AD68" s="1">
        <f>SUM(C68-(AA68+AB68+AC68+W68+S68))</f>
        <v>26.610576923076923</v>
      </c>
      <c r="AE68" s="1">
        <f>MAXA(0,(AD68)/(0.46))</f>
        <v>57.849080267558527</v>
      </c>
      <c r="AF68" s="1">
        <f>(AE68)/2204.6</f>
        <v>2.6240170673844928E-2</v>
      </c>
      <c r="AG68" s="11">
        <f>SUM(AF68*$D$55)</f>
        <v>23.616153606460436</v>
      </c>
      <c r="AH68" s="1">
        <f>MAXA(0,(E68-(AQ68*0.33))/0.52)</f>
        <v>96.153846153846146</v>
      </c>
      <c r="AI68" s="1">
        <f>(AH68)/2204.6</f>
        <v>4.3615098500338449E-2</v>
      </c>
      <c r="AJ68" s="11">
        <f>SUM(AI68*$D$58)</f>
        <v>54.518873125423063</v>
      </c>
      <c r="AK68" s="1">
        <f>SUM(H68/0.6)</f>
        <v>50</v>
      </c>
      <c r="AL68" s="1">
        <f>(AK68)/2204.6</f>
        <v>2.2679851220175996E-2</v>
      </c>
      <c r="AM68" s="11">
        <f>SUM(AL68*$D$59)</f>
        <v>14.741903293114397</v>
      </c>
      <c r="AN68" s="1">
        <f>MAXA(0,SUM(J68*$J$60)/0.24)</f>
        <v>62.5</v>
      </c>
      <c r="AO68" s="1">
        <f>(AN68)/2204.6</f>
        <v>2.8349814025219997E-2</v>
      </c>
      <c r="AP68" s="11">
        <f>SUM(AO68*$D$60)</f>
        <v>24.097341921436996</v>
      </c>
      <c r="AQ68" s="18">
        <f>MAXA(0,SUM(J68*$J$61)/0.15)</f>
        <v>0</v>
      </c>
      <c r="AR68" s="1">
        <f>(AQ68)/2204.6</f>
        <v>0</v>
      </c>
      <c r="AS68" s="11">
        <f>SUM(AR68*$D$61)</f>
        <v>0</v>
      </c>
    </row>
    <row r="69" spans="1:46" s="1" customFormat="1" ht="15.5" x14ac:dyDescent="0.35">
      <c r="A69" s="74" t="s">
        <v>137</v>
      </c>
      <c r="C69" s="76">
        <v>0</v>
      </c>
      <c r="D69" s="72">
        <f>IF(SUM($H$55:$H$57)&lt;&gt;100%,"ERROR",SUM(V69+Z69+AG69))</f>
        <v>0</v>
      </c>
      <c r="E69" s="76">
        <v>0</v>
      </c>
      <c r="F69" s="72">
        <f>AJ69</f>
        <v>0</v>
      </c>
      <c r="G69" s="28"/>
      <c r="H69" s="76">
        <v>0</v>
      </c>
      <c r="I69" s="72">
        <f>AM69</f>
        <v>0</v>
      </c>
      <c r="J69" s="76">
        <v>0</v>
      </c>
      <c r="K69" s="72">
        <f>IF(SUM($J$60:$J$61)&lt;&gt;100%,"ERROR",AP69+AS69)</f>
        <v>0</v>
      </c>
      <c r="L69" s="77">
        <f>D69+F69+I69+K69</f>
        <v>0</v>
      </c>
      <c r="S69" s="199">
        <f>SUM(C69*$H$56)</f>
        <v>0</v>
      </c>
      <c r="T69" s="1">
        <f>MAXA(0,(S69)/(0.82))</f>
        <v>0</v>
      </c>
      <c r="U69" s="1">
        <f>(T69)/2204.6</f>
        <v>0</v>
      </c>
      <c r="V69" s="11">
        <f>SUM(U69*$D$56)</f>
        <v>0</v>
      </c>
      <c r="W69" s="199">
        <f>SUM(C69*$H$57)</f>
        <v>0</v>
      </c>
      <c r="X69" s="1">
        <f>MAXA(0,(W69)/(0.28))</f>
        <v>0</v>
      </c>
      <c r="Y69" s="1">
        <f>(X69)/2204.6</f>
        <v>0</v>
      </c>
      <c r="Z69" s="11">
        <f>SUM(Y69*$D$57)</f>
        <v>0</v>
      </c>
      <c r="AA69" s="1">
        <f>SUM(AH69*0.11)</f>
        <v>0</v>
      </c>
      <c r="AB69" s="1">
        <f>SUM(AN69*0.205)</f>
        <v>0</v>
      </c>
      <c r="AC69" s="1">
        <f>SUM(AQ69*0.13)</f>
        <v>0</v>
      </c>
      <c r="AD69" s="1">
        <f>SUM(C69-(AA69+AB69+AC69+W69+S69))</f>
        <v>0</v>
      </c>
      <c r="AE69" s="1">
        <f>MAXA(0,(AD69)/(0.46))</f>
        <v>0</v>
      </c>
      <c r="AF69" s="1">
        <f>(AE69)/2204.6</f>
        <v>0</v>
      </c>
      <c r="AG69" s="11">
        <f>SUM(AF69*$D$55)</f>
        <v>0</v>
      </c>
      <c r="AH69" s="1">
        <f>MAXA(0,(E69-(AQ69*0.33))/0.52)</f>
        <v>0</v>
      </c>
      <c r="AI69" s="1">
        <f>(AH69)/2204.6</f>
        <v>0</v>
      </c>
      <c r="AJ69" s="11">
        <f>SUM(AI69*$D$58)</f>
        <v>0</v>
      </c>
      <c r="AK69" s="1">
        <f>SUM(H69/0.6)</f>
        <v>0</v>
      </c>
      <c r="AL69" s="1">
        <f>(AK69)/2204.6</f>
        <v>0</v>
      </c>
      <c r="AM69" s="11">
        <f>SUM(AL69*$D$59)</f>
        <v>0</v>
      </c>
      <c r="AN69" s="1">
        <f>MAXA(0,SUM(J69*$J$60)/0.24)</f>
        <v>0</v>
      </c>
      <c r="AO69" s="1">
        <f>(AN69)/2204.6</f>
        <v>0</v>
      </c>
      <c r="AP69" s="11">
        <f>SUM(AO69*$D$60)</f>
        <v>0</v>
      </c>
      <c r="AQ69" s="18">
        <f>MAXA(0,SUM(J69*$J$61)/0.15)</f>
        <v>0</v>
      </c>
      <c r="AR69" s="1">
        <f>(AQ69)/2204.6</f>
        <v>0</v>
      </c>
      <c r="AS69" s="11">
        <f>SUM(AR69*$D$61)</f>
        <v>0</v>
      </c>
    </row>
    <row r="70" spans="1:46" s="1" customFormat="1" ht="15.5" x14ac:dyDescent="0.35">
      <c r="A70" s="74"/>
      <c r="C70" s="76"/>
      <c r="D70" s="72"/>
      <c r="E70" s="76"/>
      <c r="F70" s="72"/>
      <c r="G70" s="28"/>
      <c r="H70" s="76"/>
      <c r="I70" s="72"/>
      <c r="J70" s="76"/>
      <c r="K70" s="72"/>
      <c r="L70" s="77"/>
    </row>
    <row r="71" spans="1:46" ht="15.5" x14ac:dyDescent="0.35">
      <c r="A71" s="75" t="s">
        <v>165</v>
      </c>
      <c r="B71" s="64"/>
      <c r="E71" s="4">
        <v>80</v>
      </c>
      <c r="F71" s="1" t="s">
        <v>18</v>
      </c>
    </row>
    <row r="72" spans="1:46" ht="15.5" x14ac:dyDescent="0.35">
      <c r="A72" s="75" t="s">
        <v>177</v>
      </c>
      <c r="B72" s="64"/>
      <c r="E72" s="4">
        <v>0</v>
      </c>
      <c r="F72" s="1" t="s">
        <v>18</v>
      </c>
      <c r="H72" s="4"/>
      <c r="I72" s="1"/>
    </row>
    <row r="73" spans="1:46" ht="7.5" customHeight="1" x14ac:dyDescent="0.35">
      <c r="A73" s="75"/>
      <c r="B73" s="64"/>
      <c r="E73" s="4"/>
      <c r="F73" s="1"/>
      <c r="H73" s="4"/>
      <c r="I73" s="1"/>
    </row>
    <row r="74" spans="1:46" ht="15.5" x14ac:dyDescent="0.35">
      <c r="A74" s="75" t="s">
        <v>164</v>
      </c>
      <c r="B74" s="64"/>
      <c r="E74" s="7">
        <v>10</v>
      </c>
      <c r="F74" s="27" t="s">
        <v>6</v>
      </c>
      <c r="H74" s="7"/>
      <c r="I74" s="27"/>
    </row>
    <row r="75" spans="1:46" ht="7.5" customHeight="1" x14ac:dyDescent="0.25"/>
    <row r="76" spans="1:46" s="1" customFormat="1" ht="24" customHeight="1" x14ac:dyDescent="0.35">
      <c r="A76" s="312" t="s">
        <v>154</v>
      </c>
      <c r="B76" s="312"/>
      <c r="C76" s="312"/>
      <c r="D76" s="312"/>
      <c r="E76" s="312"/>
      <c r="F76" s="312"/>
      <c r="G76" s="312"/>
      <c r="H76" s="312"/>
      <c r="I76" s="312"/>
      <c r="J76" s="312"/>
      <c r="K76" s="312"/>
      <c r="L76" s="312"/>
      <c r="M76" s="4"/>
      <c r="N76" s="70"/>
    </row>
    <row r="77" spans="1:46" s="1" customFormat="1" ht="7.5" customHeight="1" x14ac:dyDescent="0.35">
      <c r="D77" s="4"/>
      <c r="E77" s="70"/>
      <c r="G77" s="4"/>
      <c r="H77" s="70"/>
      <c r="J77" s="4"/>
      <c r="K77" s="70"/>
      <c r="M77" s="4"/>
      <c r="N77" s="70"/>
      <c r="P77" s="73"/>
    </row>
    <row r="78" spans="1:46" s="1" customFormat="1" ht="15.5" x14ac:dyDescent="0.35">
      <c r="D78" s="17" t="s">
        <v>155</v>
      </c>
      <c r="E78" s="17" t="s">
        <v>159</v>
      </c>
      <c r="F78" s="17" t="s">
        <v>156</v>
      </c>
      <c r="H78" s="17" t="s">
        <v>7</v>
      </c>
      <c r="I78" s="3"/>
    </row>
    <row r="79" spans="1:46" s="1" customFormat="1" ht="15.5" x14ac:dyDescent="0.35">
      <c r="D79" s="17" t="s">
        <v>157</v>
      </c>
      <c r="E79" s="17" t="s">
        <v>160</v>
      </c>
      <c r="F79" s="17" t="s">
        <v>157</v>
      </c>
      <c r="H79" s="17" t="s">
        <v>146</v>
      </c>
      <c r="I79" s="3"/>
    </row>
    <row r="80" spans="1:46" s="1" customFormat="1" ht="15.5" x14ac:dyDescent="0.35">
      <c r="A80" s="12"/>
      <c r="D80" s="15" t="s">
        <v>22</v>
      </c>
      <c r="E80" s="15" t="s">
        <v>22</v>
      </c>
      <c r="F80" s="15" t="s">
        <v>22</v>
      </c>
      <c r="H80" s="15" t="s">
        <v>22</v>
      </c>
      <c r="I80" s="12"/>
    </row>
    <row r="81" spans="1:16" s="1" customFormat="1" ht="15.5" x14ac:dyDescent="0.35">
      <c r="A81" s="75" t="s">
        <v>136</v>
      </c>
      <c r="D81" s="86"/>
      <c r="E81" s="84"/>
      <c r="F81" s="84"/>
      <c r="H81" s="11"/>
      <c r="K81" s="87"/>
    </row>
    <row r="82" spans="1:16" s="1" customFormat="1" ht="15.5" x14ac:dyDescent="0.35">
      <c r="B82" s="60" t="s">
        <v>138</v>
      </c>
      <c r="D82" s="83">
        <v>0</v>
      </c>
      <c r="E82" s="7">
        <v>1</v>
      </c>
      <c r="F82" s="7">
        <v>0</v>
      </c>
      <c r="H82" s="11">
        <f>D82+E82+F82</f>
        <v>1</v>
      </c>
      <c r="K82" s="87"/>
    </row>
    <row r="83" spans="1:16" s="1" customFormat="1" ht="15.5" x14ac:dyDescent="0.35">
      <c r="B83" s="60" t="s">
        <v>139</v>
      </c>
      <c r="D83" s="83">
        <v>14</v>
      </c>
      <c r="E83" s="7">
        <v>0</v>
      </c>
      <c r="F83" s="7">
        <v>0</v>
      </c>
      <c r="H83" s="11">
        <f>D83+E83+F83</f>
        <v>14</v>
      </c>
      <c r="K83" s="87"/>
    </row>
    <row r="84" spans="1:16" s="1" customFormat="1" ht="15.5" x14ac:dyDescent="0.35">
      <c r="A84" s="74" t="s">
        <v>137</v>
      </c>
      <c r="D84" s="83">
        <v>0</v>
      </c>
      <c r="E84" s="7">
        <v>1</v>
      </c>
      <c r="F84" s="7">
        <v>0</v>
      </c>
      <c r="H84" s="11">
        <f>D84+E84+F84</f>
        <v>1</v>
      </c>
      <c r="K84" s="87"/>
    </row>
    <row r="85" spans="1:16" s="1" customFormat="1" ht="15.5" x14ac:dyDescent="0.35">
      <c r="A85" s="74"/>
      <c r="D85" s="83"/>
      <c r="E85" s="7"/>
      <c r="F85" s="7"/>
      <c r="H85" s="11"/>
      <c r="K85" s="87"/>
    </row>
    <row r="86" spans="1:16" ht="15.5" x14ac:dyDescent="0.35">
      <c r="A86" s="75" t="s">
        <v>178</v>
      </c>
      <c r="B86" s="64"/>
      <c r="E86" s="7">
        <v>8</v>
      </c>
      <c r="F86" s="27" t="s">
        <v>6</v>
      </c>
      <c r="H86" s="7"/>
      <c r="I86" s="27"/>
    </row>
    <row r="87" spans="1:16" s="1" customFormat="1" ht="7.5" customHeight="1" x14ac:dyDescent="0.35">
      <c r="D87" s="4"/>
      <c r="E87" s="70"/>
      <c r="G87" s="4"/>
      <c r="H87" s="70"/>
      <c r="J87" s="4"/>
      <c r="K87" s="70"/>
      <c r="M87" s="4"/>
      <c r="N87" s="70"/>
      <c r="P87" s="73"/>
    </row>
    <row r="88" spans="1:16" s="1" customFormat="1" ht="24" customHeight="1" x14ac:dyDescent="0.35">
      <c r="A88" s="312" t="s">
        <v>108</v>
      </c>
      <c r="B88" s="312"/>
      <c r="C88" s="312"/>
      <c r="D88" s="312"/>
      <c r="E88" s="312"/>
      <c r="F88" s="312"/>
      <c r="G88" s="312"/>
      <c r="H88" s="312"/>
      <c r="I88" s="312"/>
      <c r="J88" s="312"/>
      <c r="K88" s="312"/>
      <c r="L88" s="312"/>
    </row>
    <row r="89" spans="1:16" ht="7.5" customHeight="1" x14ac:dyDescent="0.25"/>
    <row r="90" spans="1:16" ht="15.5" x14ac:dyDescent="0.35">
      <c r="A90" s="3" t="s">
        <v>173</v>
      </c>
      <c r="B90" s="1"/>
      <c r="C90" s="1"/>
      <c r="D90" s="13"/>
      <c r="E90" s="59"/>
      <c r="F90" s="1"/>
      <c r="G90" s="1"/>
      <c r="H90" s="96"/>
      <c r="I90" s="1"/>
      <c r="J90" s="1"/>
    </row>
    <row r="91" spans="1:16" ht="15.5" x14ac:dyDescent="0.35">
      <c r="A91" s="2"/>
      <c r="B91" s="1" t="s">
        <v>175</v>
      </c>
      <c r="C91" s="1"/>
      <c r="D91" s="13"/>
      <c r="F91" s="59">
        <v>2</v>
      </c>
      <c r="G91" s="1" t="s">
        <v>4</v>
      </c>
      <c r="H91" s="96"/>
      <c r="I91" s="1"/>
      <c r="J91" s="1"/>
    </row>
    <row r="92" spans="1:16" ht="15.5" x14ac:dyDescent="0.35">
      <c r="A92" s="2"/>
      <c r="B92" s="1" t="s">
        <v>198</v>
      </c>
      <c r="C92" s="1"/>
      <c r="D92" s="13"/>
      <c r="E92" s="59"/>
      <c r="F92" s="59">
        <v>1</v>
      </c>
      <c r="G92" s="1" t="s">
        <v>4</v>
      </c>
      <c r="H92" s="96"/>
      <c r="I92" s="1"/>
      <c r="J92" s="1"/>
    </row>
    <row r="93" spans="1:16" ht="7.5" customHeight="1" x14ac:dyDescent="0.35">
      <c r="A93" s="2"/>
      <c r="B93" s="1"/>
      <c r="C93" s="1"/>
      <c r="D93" s="13"/>
      <c r="E93" s="59"/>
      <c r="F93" s="1"/>
      <c r="G93" s="1"/>
      <c r="H93" s="96"/>
      <c r="I93" s="1"/>
      <c r="J93" s="1"/>
    </row>
    <row r="94" spans="1:16" ht="15.5" x14ac:dyDescent="0.35">
      <c r="D94" s="311" t="s">
        <v>105</v>
      </c>
      <c r="E94" s="311"/>
      <c r="F94" s="311"/>
      <c r="G94" s="60"/>
      <c r="H94" s="311" t="s">
        <v>106</v>
      </c>
      <c r="I94" s="311"/>
      <c r="J94" s="311"/>
    </row>
    <row r="95" spans="1:16" ht="15.5" x14ac:dyDescent="0.35">
      <c r="A95" s="1"/>
      <c r="C95" s="1"/>
      <c r="E95" s="95" t="s">
        <v>2</v>
      </c>
      <c r="F95" s="95" t="s">
        <v>7</v>
      </c>
      <c r="G95" s="60"/>
      <c r="I95" s="95" t="s">
        <v>2</v>
      </c>
      <c r="J95" s="95" t="s">
        <v>7</v>
      </c>
    </row>
    <row r="96" spans="1:16" ht="15.5" x14ac:dyDescent="0.35">
      <c r="A96" s="3" t="s">
        <v>173</v>
      </c>
      <c r="B96" s="1"/>
      <c r="C96" s="1"/>
      <c r="D96" s="7"/>
      <c r="J96" s="1"/>
    </row>
    <row r="97" spans="1:15" ht="15.5" x14ac:dyDescent="0.35">
      <c r="A97" s="2"/>
      <c r="B97" s="1" t="s">
        <v>174</v>
      </c>
      <c r="C97" s="39"/>
      <c r="D97" s="13"/>
      <c r="E97" s="11">
        <f>SUM(F97/Input!E4)</f>
        <v>2.4596</v>
      </c>
      <c r="F97" s="11">
        <f>SUM(($F$91/100)*('Fixed Cost Input'!D29))</f>
        <v>393.536</v>
      </c>
      <c r="G97" s="1"/>
      <c r="I97" s="11">
        <f>SUM(J97/Input!H4)</f>
        <v>1.8588499999999999</v>
      </c>
      <c r="J97" s="11">
        <f>SUM(($F$91/100)*('Fixed Cost Input'!H29))</f>
        <v>297.416</v>
      </c>
    </row>
    <row r="98" spans="1:15" ht="15.5" x14ac:dyDescent="0.35">
      <c r="A98" s="2"/>
      <c r="B98" s="1" t="s">
        <v>195</v>
      </c>
      <c r="C98" s="1"/>
      <c r="D98" s="13"/>
      <c r="E98" s="11">
        <f>SUM(F98/Input!E4)</f>
        <v>0.5</v>
      </c>
      <c r="F98" s="11">
        <f>SUM(($F$92/100)*('Fixed Cost Input'!D27+'Fixed Cost Input'!D28))</f>
        <v>80</v>
      </c>
      <c r="G98" s="1"/>
      <c r="I98" s="11">
        <f>SUM(J98/Input!H4)</f>
        <v>0.5</v>
      </c>
      <c r="J98" s="11">
        <f>SUM(($F$92/100)*('Fixed Cost Input'!H27+'Fixed Cost Input'!H28))</f>
        <v>80</v>
      </c>
    </row>
    <row r="99" spans="1:15" ht="7.5" customHeight="1" x14ac:dyDescent="0.35">
      <c r="A99" s="2"/>
      <c r="B99" s="1"/>
      <c r="C99" s="1"/>
      <c r="D99" s="13"/>
      <c r="E99" s="11"/>
      <c r="F99" s="11"/>
      <c r="G99" s="1"/>
      <c r="I99" s="11"/>
      <c r="J99" s="11"/>
    </row>
    <row r="100" spans="1:15" ht="15.5" x14ac:dyDescent="0.35">
      <c r="A100" s="3" t="s">
        <v>166</v>
      </c>
      <c r="B100" s="1"/>
      <c r="C100" s="1"/>
      <c r="D100" s="13"/>
      <c r="E100" s="7">
        <v>10</v>
      </c>
      <c r="F100" s="8" t="s">
        <v>22</v>
      </c>
      <c r="G100" s="1"/>
      <c r="I100" s="7">
        <v>6</v>
      </c>
      <c r="J100" s="8" t="s">
        <v>22</v>
      </c>
    </row>
    <row r="101" spans="1:15" ht="15.5" x14ac:dyDescent="0.35">
      <c r="A101" s="3" t="s">
        <v>172</v>
      </c>
      <c r="B101" s="1"/>
      <c r="C101" s="1"/>
      <c r="D101" s="13"/>
      <c r="E101" s="7">
        <v>0</v>
      </c>
      <c r="F101" s="8" t="s">
        <v>22</v>
      </c>
      <c r="G101" s="1"/>
      <c r="I101" s="7">
        <v>0</v>
      </c>
      <c r="J101" s="8" t="s">
        <v>22</v>
      </c>
    </row>
    <row r="102" spans="1:15" ht="7.5" customHeight="1" x14ac:dyDescent="0.35">
      <c r="A102" s="3"/>
      <c r="B102" s="1"/>
      <c r="C102" s="1"/>
      <c r="D102" s="13"/>
      <c r="E102" s="7"/>
      <c r="F102" s="8"/>
      <c r="G102" s="1"/>
      <c r="H102" s="7"/>
      <c r="I102" s="8"/>
      <c r="J102" s="1"/>
    </row>
    <row r="103" spans="1:15" ht="15.5" x14ac:dyDescent="0.35">
      <c r="A103" s="3" t="s">
        <v>19</v>
      </c>
      <c r="B103" s="1"/>
      <c r="C103" s="1"/>
      <c r="D103" s="13"/>
      <c r="E103" s="59">
        <v>9</v>
      </c>
      <c r="F103" s="1" t="s">
        <v>4</v>
      </c>
      <c r="G103" s="1"/>
      <c r="H103" s="96"/>
      <c r="I103" s="1"/>
      <c r="J103" s="1"/>
    </row>
    <row r="104" spans="1:15" ht="7.5" customHeight="1" x14ac:dyDescent="0.35">
      <c r="A104" s="1"/>
      <c r="B104" s="1"/>
      <c r="C104" s="1"/>
      <c r="D104" s="13"/>
      <c r="E104" s="13"/>
      <c r="F104" s="37"/>
      <c r="G104" s="1"/>
      <c r="H104" s="13"/>
      <c r="I104" s="1"/>
      <c r="J104" s="1"/>
    </row>
    <row r="105" spans="1:15" s="1" customFormat="1" ht="24" customHeight="1" x14ac:dyDescent="0.35">
      <c r="A105" s="312" t="s">
        <v>169</v>
      </c>
      <c r="B105" s="312"/>
      <c r="C105" s="312"/>
      <c r="D105" s="312"/>
      <c r="E105" s="312"/>
      <c r="F105" s="312"/>
      <c r="G105" s="312"/>
      <c r="H105" s="312"/>
      <c r="I105" s="312"/>
      <c r="J105" s="312"/>
      <c r="K105" s="312"/>
      <c r="L105" s="312"/>
    </row>
    <row r="106" spans="1:15" ht="15.5" x14ac:dyDescent="0.35">
      <c r="A106" s="1"/>
      <c r="C106" s="1"/>
      <c r="D106" s="311" t="s">
        <v>105</v>
      </c>
      <c r="E106" s="311"/>
      <c r="F106" s="311"/>
      <c r="G106" s="60"/>
      <c r="H106" s="311" t="s">
        <v>109</v>
      </c>
      <c r="I106" s="311"/>
      <c r="J106" s="311"/>
    </row>
    <row r="107" spans="1:15" ht="15.5" x14ac:dyDescent="0.35">
      <c r="A107" s="322" t="s">
        <v>170</v>
      </c>
      <c r="B107" s="322"/>
      <c r="C107" s="1"/>
      <c r="E107" s="5">
        <v>0</v>
      </c>
      <c r="F107" s="1"/>
      <c r="G107" s="1"/>
      <c r="I107" s="5">
        <v>0</v>
      </c>
      <c r="J107" s="1"/>
    </row>
    <row r="108" spans="1:15" ht="15.5" x14ac:dyDescent="0.35">
      <c r="A108" s="1" t="s">
        <v>171</v>
      </c>
      <c r="C108" s="1"/>
      <c r="E108" s="7">
        <v>27</v>
      </c>
      <c r="F108" s="1"/>
      <c r="G108" s="1"/>
      <c r="I108" s="7">
        <v>27</v>
      </c>
      <c r="J108" s="1"/>
    </row>
    <row r="109" spans="1:15" ht="7.5" customHeight="1" x14ac:dyDescent="0.25"/>
    <row r="110" spans="1:15" s="1" customFormat="1" ht="24" customHeight="1" x14ac:dyDescent="0.35">
      <c r="A110" s="312" t="s">
        <v>208</v>
      </c>
      <c r="B110" s="312"/>
      <c r="C110" s="312"/>
      <c r="D110" s="312"/>
      <c r="E110" s="312"/>
      <c r="F110" s="312"/>
      <c r="G110" s="312"/>
      <c r="H110" s="312"/>
      <c r="I110" s="312"/>
      <c r="J110" s="312"/>
      <c r="K110" s="312"/>
      <c r="L110" s="312"/>
      <c r="M110"/>
      <c r="N110"/>
      <c r="O110"/>
    </row>
    <row r="111" spans="1:15" ht="7.5" customHeight="1" x14ac:dyDescent="0.35">
      <c r="A111" s="20"/>
      <c r="B111" s="2"/>
      <c r="E111" s="25"/>
      <c r="F111" s="1"/>
      <c r="G111" s="1"/>
      <c r="H111" s="25"/>
      <c r="I111" s="1"/>
      <c r="J111" s="1"/>
    </row>
    <row r="112" spans="1:15" s="1" customFormat="1" ht="15.5" x14ac:dyDescent="0.35">
      <c r="D112" s="80" t="s">
        <v>210</v>
      </c>
      <c r="F112" s="80" t="s">
        <v>145</v>
      </c>
      <c r="I112" s="80" t="s">
        <v>34</v>
      </c>
    </row>
    <row r="113" spans="1:10" s="1" customFormat="1" ht="15.5" x14ac:dyDescent="0.35">
      <c r="A113" s="81"/>
      <c r="D113" s="82" t="s">
        <v>147</v>
      </c>
      <c r="F113" s="82" t="s">
        <v>148</v>
      </c>
      <c r="I113" s="82" t="s">
        <v>147</v>
      </c>
    </row>
    <row r="114" spans="1:10" s="1" customFormat="1" ht="15.5" x14ac:dyDescent="0.35">
      <c r="A114" s="75" t="s">
        <v>136</v>
      </c>
      <c r="D114" s="25"/>
      <c r="F114" s="84"/>
      <c r="I114" s="73"/>
    </row>
    <row r="115" spans="1:10" s="1" customFormat="1" ht="15.5" x14ac:dyDescent="0.35">
      <c r="B115" s="60" t="s">
        <v>135</v>
      </c>
      <c r="D115" s="85">
        <v>1.5</v>
      </c>
      <c r="E115" s="1" t="s">
        <v>209</v>
      </c>
      <c r="F115" s="174">
        <v>0.04</v>
      </c>
      <c r="G115" s="1" t="s">
        <v>151</v>
      </c>
      <c r="I115" s="73">
        <f>ROUND(D115*2000*F115,2)</f>
        <v>120</v>
      </c>
      <c r="J115" s="60" t="s">
        <v>211</v>
      </c>
    </row>
  </sheetData>
  <sheetProtection password="C6A6" sheet="1" objects="1" scenarios="1"/>
  <mergeCells count="20">
    <mergeCell ref="A110:L110"/>
    <mergeCell ref="C63:K63"/>
    <mergeCell ref="C64:D64"/>
    <mergeCell ref="E64:F64"/>
    <mergeCell ref="H64:I64"/>
    <mergeCell ref="A107:B107"/>
    <mergeCell ref="A1:L1"/>
    <mergeCell ref="D106:F106"/>
    <mergeCell ref="H106:J106"/>
    <mergeCell ref="J64:K64"/>
    <mergeCell ref="A76:L76"/>
    <mergeCell ref="A88:L88"/>
    <mergeCell ref="D94:F94"/>
    <mergeCell ref="H94:J94"/>
    <mergeCell ref="A105:L105"/>
    <mergeCell ref="A30:L30"/>
    <mergeCell ref="D32:F32"/>
    <mergeCell ref="H32:J32"/>
    <mergeCell ref="A43:L43"/>
    <mergeCell ref="A52:L52"/>
  </mergeCells>
  <phoneticPr fontId="20" type="noConversion"/>
  <pageMargins left="0.74803149606299213" right="0.74803149606299213" top="0.98425196850393704" bottom="0.98425196850393704" header="0.51181102362204722" footer="0.51181102362204722"/>
  <pageSetup scale="65" firstPageNumber="5" fitToHeight="2" orientation="portrait" useFirstPageNumber="1" r:id="rId1"/>
  <headerFooter scaleWithDoc="0">
    <oddHeader>&amp;LGuidelines: Pasture Production Costs&amp;R&amp;P</oddHeader>
  </headerFooter>
  <rowBreaks count="1" manualBreakCount="1">
    <brk id="51" max="1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T51"/>
  <sheetViews>
    <sheetView zoomScaleNormal="100" workbookViewId="0">
      <selection sqref="A1:L1"/>
    </sheetView>
  </sheetViews>
  <sheetFormatPr defaultColWidth="9.08984375" defaultRowHeight="12.5" x14ac:dyDescent="0.25"/>
  <cols>
    <col min="1" max="1" width="3.6328125" customWidth="1"/>
    <col min="2" max="2" width="20" customWidth="1"/>
    <col min="3" max="3" width="10.81640625" customWidth="1"/>
    <col min="4" max="5" width="11.54296875" customWidth="1"/>
    <col min="6" max="6" width="12.08984375" customWidth="1"/>
    <col min="7" max="7" width="4" customWidth="1"/>
    <col min="8" max="8" width="11.54296875" customWidth="1"/>
    <col min="9" max="10" width="12.08984375" customWidth="1"/>
    <col min="11" max="11" width="12.54296875" bestFit="1" customWidth="1"/>
    <col min="12" max="12" width="10.08984375" customWidth="1"/>
    <col min="13" max="13" width="8.81640625" customWidth="1"/>
    <col min="16" max="16" width="11" bestFit="1" customWidth="1"/>
  </cols>
  <sheetData>
    <row r="1" spans="1:20" s="1" customFormat="1" ht="24" customHeight="1" x14ac:dyDescent="0.35">
      <c r="A1" s="312" t="s">
        <v>246</v>
      </c>
      <c r="B1" s="312"/>
      <c r="C1" s="312"/>
      <c r="D1" s="312"/>
      <c r="E1" s="312"/>
      <c r="F1" s="312"/>
      <c r="G1" s="312"/>
      <c r="H1" s="312"/>
      <c r="I1" s="312"/>
      <c r="J1" s="312"/>
      <c r="K1" s="312"/>
      <c r="L1" s="312"/>
    </row>
    <row r="2" spans="1:20" ht="7.5" customHeight="1" x14ac:dyDescent="0.35">
      <c r="A2" s="1"/>
      <c r="C2" s="1"/>
      <c r="D2" s="13"/>
      <c r="E2" s="13"/>
      <c r="F2" s="1"/>
      <c r="G2" s="1"/>
      <c r="H2" s="13"/>
      <c r="I2" s="1"/>
      <c r="J2" s="1"/>
    </row>
    <row r="3" spans="1:20" ht="15.5" x14ac:dyDescent="0.35">
      <c r="A3" s="1"/>
      <c r="C3" s="1"/>
      <c r="D3" s="311" t="s">
        <v>105</v>
      </c>
      <c r="E3" s="311"/>
      <c r="F3" s="311"/>
      <c r="G3" s="60"/>
      <c r="H3" s="311" t="s">
        <v>106</v>
      </c>
      <c r="I3" s="311"/>
      <c r="J3" s="311"/>
    </row>
    <row r="4" spans="1:20" ht="15.5" x14ac:dyDescent="0.35">
      <c r="A4" s="143"/>
      <c r="D4" s="1"/>
      <c r="E4" s="3">
        <f>Input!E4</f>
        <v>160</v>
      </c>
      <c r="F4" s="1" t="s">
        <v>20</v>
      </c>
      <c r="I4" s="3">
        <f>Input!H4</f>
        <v>160</v>
      </c>
      <c r="J4" s="1" t="s">
        <v>20</v>
      </c>
    </row>
    <row r="5" spans="1:20" ht="15.5" x14ac:dyDescent="0.35">
      <c r="A5" s="1"/>
      <c r="C5" s="1"/>
      <c r="E5" s="95" t="s">
        <v>2</v>
      </c>
      <c r="F5" s="95" t="s">
        <v>7</v>
      </c>
      <c r="G5" s="60"/>
      <c r="I5" s="95" t="s">
        <v>2</v>
      </c>
      <c r="J5" s="95" t="s">
        <v>7</v>
      </c>
      <c r="R5" s="144"/>
      <c r="S5" s="144"/>
      <c r="T5" s="144"/>
    </row>
    <row r="6" spans="1:20" ht="15.5" x14ac:dyDescent="0.35">
      <c r="A6" s="1" t="s">
        <v>205</v>
      </c>
      <c r="C6" s="1"/>
      <c r="D6" s="13"/>
      <c r="E6" s="26">
        <f>F6/Input!E4</f>
        <v>1875</v>
      </c>
      <c r="F6" s="19">
        <v>300000</v>
      </c>
      <c r="G6" s="1"/>
      <c r="H6" s="13"/>
      <c r="I6" s="26">
        <f>J6/Input!H4</f>
        <v>843.75</v>
      </c>
      <c r="J6" s="19">
        <v>135000</v>
      </c>
    </row>
    <row r="7" spans="1:20" ht="7.5" customHeight="1" x14ac:dyDescent="0.35">
      <c r="A7" s="1"/>
      <c r="C7" s="1"/>
      <c r="D7" s="13"/>
      <c r="E7" s="13"/>
      <c r="F7" s="1"/>
      <c r="G7" s="1"/>
      <c r="H7" s="13"/>
      <c r="I7" s="1"/>
      <c r="J7" s="1"/>
    </row>
    <row r="8" spans="1:20" ht="15.5" x14ac:dyDescent="0.35">
      <c r="A8" s="144" t="s">
        <v>233</v>
      </c>
      <c r="B8" s="144"/>
      <c r="E8" s="71">
        <v>0.75</v>
      </c>
      <c r="G8" s="144"/>
      <c r="H8" s="144"/>
      <c r="I8" s="71">
        <v>0.75</v>
      </c>
    </row>
    <row r="9" spans="1:20" ht="15.5" x14ac:dyDescent="0.35">
      <c r="A9" s="144" t="s">
        <v>234</v>
      </c>
      <c r="B9" s="144"/>
      <c r="E9" s="152">
        <f>SUM(1-E8)</f>
        <v>0.25</v>
      </c>
      <c r="G9" s="144"/>
      <c r="H9" s="144"/>
      <c r="I9" s="152">
        <f>SUM(1-I8)</f>
        <v>0.25</v>
      </c>
    </row>
    <row r="10" spans="1:20" ht="15.5" x14ac:dyDescent="0.35">
      <c r="A10" s="144" t="s">
        <v>235</v>
      </c>
      <c r="B10" s="1"/>
      <c r="E10" s="153">
        <v>0</v>
      </c>
      <c r="G10" s="144"/>
      <c r="H10" s="144"/>
      <c r="I10" s="153">
        <v>0</v>
      </c>
    </row>
    <row r="11" spans="1:20" ht="7.5" customHeight="1" x14ac:dyDescent="0.35">
      <c r="A11" s="144"/>
      <c r="B11" s="1"/>
      <c r="E11" s="153"/>
      <c r="G11" s="144"/>
      <c r="H11" s="144"/>
      <c r="I11" s="153"/>
    </row>
    <row r="12" spans="1:20" ht="15.5" x14ac:dyDescent="0.35">
      <c r="A12" s="143" t="s">
        <v>238</v>
      </c>
      <c r="B12" s="144"/>
      <c r="F12" s="144"/>
      <c r="G12" s="144"/>
      <c r="H12" s="143"/>
      <c r="I12" s="144"/>
      <c r="J12" s="144"/>
    </row>
    <row r="13" spans="1:20" ht="15.5" x14ac:dyDescent="0.35">
      <c r="A13" s="144" t="s">
        <v>228</v>
      </c>
      <c r="D13" s="145">
        <v>0.06</v>
      </c>
      <c r="E13" s="146">
        <v>25</v>
      </c>
      <c r="F13" s="144" t="s">
        <v>229</v>
      </c>
      <c r="H13" s="145">
        <v>0.06</v>
      </c>
      <c r="I13" s="146">
        <v>25</v>
      </c>
      <c r="J13" s="144" t="s">
        <v>229</v>
      </c>
    </row>
    <row r="14" spans="1:20" ht="15.5" x14ac:dyDescent="0.35">
      <c r="A14" s="144" t="s">
        <v>230</v>
      </c>
      <c r="B14" s="144"/>
      <c r="E14" s="147">
        <f>-PMT(D13,E13,E6*E9,0)</f>
        <v>36.66877416200343</v>
      </c>
      <c r="F14" s="155">
        <f>SUM(E14*$E$4)</f>
        <v>5867.0038659205493</v>
      </c>
      <c r="G14" s="144"/>
      <c r="H14" s="144"/>
      <c r="I14" s="147">
        <f>-PMT(H13,I13,I6*I9,0)</f>
        <v>16.500948372901544</v>
      </c>
      <c r="J14" s="155">
        <f>SUM(I14*$I$4)</f>
        <v>2640.1517396642471</v>
      </c>
    </row>
    <row r="15" spans="1:20" ht="15.5" x14ac:dyDescent="0.35">
      <c r="A15" s="144" t="s">
        <v>231</v>
      </c>
      <c r="B15" s="144"/>
      <c r="E15" s="148">
        <f>SUM(E6*E8)*(E10)</f>
        <v>0</v>
      </c>
      <c r="F15" s="156">
        <f>SUM(E15*$E$4)</f>
        <v>0</v>
      </c>
      <c r="H15" s="144"/>
      <c r="I15" s="148">
        <f>SUM(I6*I8)*(I10)</f>
        <v>0</v>
      </c>
      <c r="J15" s="156">
        <f>SUM(I15*$I$4)</f>
        <v>0</v>
      </c>
    </row>
    <row r="16" spans="1:20" ht="15.5" x14ac:dyDescent="0.35">
      <c r="A16" s="149" t="s">
        <v>232</v>
      </c>
      <c r="B16" s="144"/>
      <c r="E16" s="91">
        <f>SUM(E14:E15)</f>
        <v>36.66877416200343</v>
      </c>
      <c r="F16" s="157">
        <f>SUM(F14:F15)</f>
        <v>5867.0038659205493</v>
      </c>
      <c r="G16" s="144"/>
      <c r="H16" s="149"/>
      <c r="I16" s="91">
        <f>SUM(I14:I15)</f>
        <v>16.500948372901544</v>
      </c>
      <c r="J16" s="157">
        <f>SUM(J14:J15)</f>
        <v>2640.1517396642471</v>
      </c>
    </row>
    <row r="17" spans="1:13" ht="15.5" x14ac:dyDescent="0.35">
      <c r="A17" s="149"/>
      <c r="B17" s="144"/>
      <c r="E17" s="91"/>
      <c r="F17" s="157"/>
      <c r="G17" s="144"/>
      <c r="H17" s="149"/>
      <c r="I17" s="91"/>
      <c r="J17" s="157"/>
    </row>
    <row r="18" spans="1:13" ht="15.5" x14ac:dyDescent="0.35">
      <c r="A18" s="90" t="s">
        <v>266</v>
      </c>
      <c r="C18" s="1"/>
      <c r="D18" s="13"/>
      <c r="E18" s="91">
        <f>Summary!E39</f>
        <v>1.4094100000000003</v>
      </c>
      <c r="F18" s="1" t="s">
        <v>245</v>
      </c>
      <c r="G18" s="1"/>
      <c r="H18" s="13"/>
      <c r="I18" s="91">
        <f>Summary!I39</f>
        <v>1.3553074602314814</v>
      </c>
      <c r="J18" s="1" t="s">
        <v>245</v>
      </c>
      <c r="L18" s="60"/>
    </row>
    <row r="19" spans="1:13" ht="15.5" x14ac:dyDescent="0.35">
      <c r="A19" s="1" t="s">
        <v>239</v>
      </c>
      <c r="C19" s="1"/>
      <c r="D19" s="1"/>
      <c r="E19" s="26">
        <f>'Fixed Cost Input'!F6/Input!E8</f>
        <v>3191.4893617021276</v>
      </c>
      <c r="F19" s="1" t="s">
        <v>6</v>
      </c>
      <c r="G19" s="1"/>
      <c r="I19" s="26">
        <f>'Fixed Cost Input'!J6/Input!H8</f>
        <v>4218.75</v>
      </c>
      <c r="J19" s="1" t="s">
        <v>6</v>
      </c>
      <c r="K19" s="149"/>
      <c r="M19" s="60"/>
    </row>
    <row r="20" spans="1:13" ht="15.5" x14ac:dyDescent="0.35">
      <c r="A20" s="1"/>
      <c r="C20" s="1"/>
      <c r="D20" s="1"/>
      <c r="E20" s="26"/>
      <c r="F20" s="1"/>
      <c r="G20" s="1"/>
      <c r="I20" s="26"/>
      <c r="J20" s="1"/>
      <c r="K20" s="149"/>
      <c r="M20" s="60"/>
    </row>
    <row r="21" spans="1:13" ht="15.5" x14ac:dyDescent="0.35">
      <c r="A21" s="1"/>
      <c r="C21" s="1"/>
      <c r="D21" s="1"/>
      <c r="E21" s="26"/>
      <c r="F21" s="1"/>
      <c r="G21" s="1"/>
      <c r="I21" s="26"/>
      <c r="J21" s="1"/>
      <c r="K21" s="149"/>
      <c r="M21" s="60"/>
    </row>
    <row r="22" spans="1:13" s="1" customFormat="1" ht="24" customHeight="1" x14ac:dyDescent="0.35">
      <c r="A22" s="312" t="s">
        <v>167</v>
      </c>
      <c r="B22" s="312"/>
      <c r="C22" s="312"/>
      <c r="D22" s="312"/>
      <c r="E22" s="312"/>
      <c r="F22" s="312"/>
      <c r="G22" s="312"/>
      <c r="H22" s="312"/>
      <c r="I22" s="312"/>
      <c r="J22" s="312"/>
      <c r="K22" s="312"/>
      <c r="L22" s="312"/>
    </row>
    <row r="23" spans="1:13" ht="7.5" customHeight="1" x14ac:dyDescent="0.35">
      <c r="A23" s="1"/>
      <c r="C23" s="1"/>
      <c r="D23" s="13"/>
      <c r="E23" s="13"/>
      <c r="F23" s="1"/>
      <c r="G23" s="1"/>
      <c r="H23" s="13"/>
      <c r="I23" s="1"/>
      <c r="J23" s="1"/>
    </row>
    <row r="24" spans="1:13" ht="15.5" x14ac:dyDescent="0.35">
      <c r="A24" s="1"/>
      <c r="C24" s="1"/>
      <c r="D24" s="311" t="s">
        <v>105</v>
      </c>
      <c r="E24" s="311"/>
      <c r="F24" s="311"/>
      <c r="G24" s="60"/>
      <c r="H24" s="311" t="s">
        <v>106</v>
      </c>
      <c r="I24" s="311"/>
      <c r="J24" s="311"/>
    </row>
    <row r="25" spans="1:13" ht="20" x14ac:dyDescent="0.4">
      <c r="A25" s="12"/>
      <c r="B25" s="15"/>
      <c r="C25" s="15"/>
      <c r="E25" s="17" t="s">
        <v>33</v>
      </c>
      <c r="F25" s="17" t="s">
        <v>16</v>
      </c>
      <c r="I25" s="17" t="s">
        <v>33</v>
      </c>
      <c r="J25" s="17" t="s">
        <v>16</v>
      </c>
      <c r="K25" s="93"/>
    </row>
    <row r="26" spans="1:13" ht="15.5" x14ac:dyDescent="0.35">
      <c r="A26" s="12" t="s">
        <v>167</v>
      </c>
      <c r="D26" s="15" t="s">
        <v>34</v>
      </c>
      <c r="E26" s="15" t="s">
        <v>46</v>
      </c>
      <c r="F26" s="15" t="s">
        <v>45</v>
      </c>
      <c r="G26" s="1"/>
      <c r="H26" s="15" t="s">
        <v>34</v>
      </c>
      <c r="I26" s="15" t="s">
        <v>46</v>
      </c>
      <c r="J26" s="15" t="s">
        <v>45</v>
      </c>
    </row>
    <row r="27" spans="1:13" ht="15.5" x14ac:dyDescent="0.35">
      <c r="A27" s="2" t="s">
        <v>32</v>
      </c>
      <c r="C27" s="21"/>
      <c r="D27" s="19">
        <v>8000</v>
      </c>
      <c r="E27" s="6">
        <v>20</v>
      </c>
      <c r="F27" s="92">
        <v>0</v>
      </c>
      <c r="G27" s="14"/>
      <c r="H27" s="19">
        <v>8000</v>
      </c>
      <c r="I27" s="6">
        <v>20</v>
      </c>
      <c r="J27" s="92">
        <v>0</v>
      </c>
    </row>
    <row r="28" spans="1:13" ht="15.5" x14ac:dyDescent="0.35">
      <c r="A28" s="2" t="s">
        <v>37</v>
      </c>
      <c r="C28" s="40"/>
      <c r="D28" s="19">
        <v>0</v>
      </c>
      <c r="E28" s="4">
        <v>20</v>
      </c>
      <c r="F28" s="4">
        <v>0</v>
      </c>
      <c r="G28" s="1"/>
      <c r="H28" s="19">
        <v>0</v>
      </c>
      <c r="I28" s="4">
        <v>20</v>
      </c>
      <c r="J28" s="4">
        <v>0</v>
      </c>
    </row>
    <row r="29" spans="1:13" ht="15.5" x14ac:dyDescent="0.35">
      <c r="A29" s="1" t="s">
        <v>190</v>
      </c>
      <c r="C29" s="106"/>
      <c r="D29" s="98">
        <f>K48</f>
        <v>19676.8</v>
      </c>
      <c r="E29" s="97">
        <v>20</v>
      </c>
      <c r="F29" s="97">
        <v>0</v>
      </c>
      <c r="G29" s="1"/>
      <c r="H29" s="98">
        <f>L48</f>
        <v>14870.8</v>
      </c>
      <c r="I29" s="97">
        <v>20</v>
      </c>
      <c r="J29" s="97">
        <v>0</v>
      </c>
    </row>
    <row r="30" spans="1:13" ht="15.5" x14ac:dyDescent="0.35">
      <c r="A30" s="3" t="s">
        <v>168</v>
      </c>
      <c r="C30" s="21"/>
      <c r="D30" s="26">
        <f>SUM(D27:D29)</f>
        <v>27676.799999999999</v>
      </c>
      <c r="E30" s="99">
        <f>SUM(E27:E29)/3</f>
        <v>20</v>
      </c>
      <c r="F30" s="99">
        <f>SUM(F27:F29)/3</f>
        <v>0</v>
      </c>
      <c r="G30" s="14"/>
      <c r="H30" s="26">
        <f>SUM(H27:H29)</f>
        <v>22870.799999999999</v>
      </c>
      <c r="I30" s="99">
        <f>SUM(I27:I29)/3</f>
        <v>20</v>
      </c>
      <c r="J30" s="99">
        <f>SUM(J27:J29)/3</f>
        <v>0</v>
      </c>
    </row>
    <row r="31" spans="1:13" ht="15" customHeight="1" x14ac:dyDescent="0.35">
      <c r="A31" s="2"/>
      <c r="C31" s="21"/>
      <c r="D31" s="23"/>
      <c r="E31" s="24"/>
      <c r="F31" s="22"/>
      <c r="G31" s="14"/>
      <c r="H31" s="23"/>
      <c r="I31" s="24"/>
      <c r="J31" s="22"/>
    </row>
    <row r="32" spans="1:13" ht="15.5" x14ac:dyDescent="0.35">
      <c r="A32" s="3" t="s">
        <v>5</v>
      </c>
      <c r="B32" s="1"/>
      <c r="C32" s="1"/>
      <c r="D32" s="13"/>
      <c r="E32" s="59">
        <v>2.5</v>
      </c>
      <c r="F32" s="1" t="s">
        <v>4</v>
      </c>
      <c r="G32" s="1"/>
      <c r="H32" s="59"/>
      <c r="I32" s="1"/>
      <c r="J32" s="1"/>
    </row>
    <row r="33" spans="1:20" ht="7.5" customHeight="1" x14ac:dyDescent="0.35">
      <c r="A33" s="16"/>
      <c r="B33" s="16"/>
      <c r="C33" s="16"/>
      <c r="D33" s="16"/>
      <c r="E33" s="16"/>
      <c r="F33" s="16"/>
      <c r="G33" s="16"/>
      <c r="H33" s="16"/>
      <c r="I33" s="16"/>
      <c r="J33" s="16"/>
      <c r="K33" s="16"/>
      <c r="L33" s="13"/>
    </row>
    <row r="34" spans="1:20" ht="15.5" x14ac:dyDescent="0.35">
      <c r="A34" s="1"/>
      <c r="C34" s="1"/>
      <c r="E34" s="95" t="s">
        <v>2</v>
      </c>
      <c r="F34" s="95" t="s">
        <v>7</v>
      </c>
      <c r="G34" s="60"/>
      <c r="I34" s="95" t="s">
        <v>2</v>
      </c>
      <c r="J34" s="95" t="s">
        <v>7</v>
      </c>
      <c r="R34" s="144"/>
      <c r="S34" s="144"/>
      <c r="T34" s="144"/>
    </row>
    <row r="35" spans="1:20" ht="15.5" x14ac:dyDescent="0.35">
      <c r="A35" s="90" t="str">
        <f>"Other Capital Investment Cost @ "&amp;E32&amp;"%"</f>
        <v>Other Capital Investment Cost @ 2.5%</v>
      </c>
      <c r="B35" s="90"/>
      <c r="E35" s="91">
        <f>SUM(F35/Input!E4)</f>
        <v>2.1622499999999998</v>
      </c>
      <c r="F35" s="91">
        <f>ROUND((((D30+((F30/100)*D30))/2)*($E$32/100)),2)</f>
        <v>345.96</v>
      </c>
      <c r="I35" s="91">
        <f>SUM(J35/Input!H4)</f>
        <v>1.7868124999999999</v>
      </c>
      <c r="J35" s="91">
        <f>ROUND((((H30+((J30/100)*H30))/2)*($E$32/100)),2)</f>
        <v>285.89</v>
      </c>
      <c r="K35" s="16"/>
      <c r="L35" s="13"/>
    </row>
    <row r="36" spans="1:20" ht="15.5" x14ac:dyDescent="0.35">
      <c r="A36" s="90" t="s">
        <v>176</v>
      </c>
      <c r="C36" s="1"/>
      <c r="D36" s="13"/>
      <c r="E36" s="91">
        <f>SUM(F36/Input!E4)</f>
        <v>8.6489999999999991</v>
      </c>
      <c r="F36" s="91">
        <f>ROUND(((D30-((F30/100)*D30))/E30),2)</f>
        <v>1383.84</v>
      </c>
      <c r="G36" s="1"/>
      <c r="H36" s="13"/>
      <c r="I36" s="91">
        <f>SUM(J36/Input!H4)</f>
        <v>7.147125</v>
      </c>
      <c r="J36" s="91">
        <f>ROUND(((H30-((J30/100)*H30))/I30),2)</f>
        <v>1143.54</v>
      </c>
      <c r="L36" s="60"/>
    </row>
    <row r="37" spans="1:20" ht="15.5" x14ac:dyDescent="0.35">
      <c r="A37" s="90"/>
      <c r="C37" s="1"/>
      <c r="D37" s="13"/>
      <c r="E37" s="91"/>
      <c r="F37" s="91"/>
      <c r="G37" s="1"/>
      <c r="H37" s="13"/>
      <c r="I37" s="91"/>
      <c r="J37" s="91"/>
      <c r="L37" s="60"/>
    </row>
    <row r="38" spans="1:20" ht="15.5" x14ac:dyDescent="0.35">
      <c r="A38" s="90"/>
      <c r="C38" s="1"/>
      <c r="D38" s="13"/>
      <c r="E38" s="91"/>
      <c r="F38" s="94"/>
      <c r="G38" s="1"/>
      <c r="H38" s="13"/>
      <c r="I38" s="91"/>
      <c r="J38" s="94"/>
    </row>
    <row r="39" spans="1:20" s="1" customFormat="1" ht="24" customHeight="1" x14ac:dyDescent="0.35">
      <c r="A39" s="312" t="s">
        <v>96</v>
      </c>
      <c r="B39" s="312"/>
      <c r="C39" s="312"/>
      <c r="D39" s="312"/>
      <c r="E39" s="312"/>
      <c r="F39" s="312"/>
      <c r="G39" s="312"/>
      <c r="H39" s="312"/>
      <c r="I39" s="312"/>
      <c r="J39" s="312"/>
      <c r="K39" s="312"/>
      <c r="L39" s="312"/>
    </row>
    <row r="40" spans="1:20" ht="15.5" x14ac:dyDescent="0.35">
      <c r="A40" s="90"/>
      <c r="C40" s="1"/>
      <c r="D40" s="13"/>
      <c r="E40" s="91"/>
      <c r="F40" s="94"/>
      <c r="G40" s="1"/>
      <c r="H40" s="13"/>
      <c r="I40" s="91"/>
      <c r="J40" s="94"/>
    </row>
    <row r="41" spans="1:20" ht="27" customHeight="1" x14ac:dyDescent="0.35">
      <c r="A41" s="90"/>
      <c r="C41" s="1"/>
      <c r="E41" s="323" t="s">
        <v>182</v>
      </c>
      <c r="F41" s="323"/>
      <c r="G41" s="1"/>
      <c r="H41" s="324" t="s">
        <v>186</v>
      </c>
      <c r="I41" s="324"/>
      <c r="J41" s="324"/>
      <c r="K41" s="325" t="s">
        <v>188</v>
      </c>
      <c r="L41" s="325" t="s">
        <v>189</v>
      </c>
    </row>
    <row r="42" spans="1:20" ht="27" customHeight="1" x14ac:dyDescent="0.35">
      <c r="A42" s="90"/>
      <c r="C42" s="1"/>
      <c r="D42" s="103"/>
      <c r="E42" s="105" t="s">
        <v>136</v>
      </c>
      <c r="F42" s="105" t="s">
        <v>137</v>
      </c>
      <c r="G42" s="1"/>
      <c r="H42" s="100" t="s">
        <v>183</v>
      </c>
      <c r="I42" s="101" t="s">
        <v>184</v>
      </c>
      <c r="J42" s="102" t="s">
        <v>185</v>
      </c>
      <c r="K42" s="326"/>
      <c r="L42" s="326"/>
    </row>
    <row r="43" spans="1:20" ht="15.5" x14ac:dyDescent="0.35">
      <c r="A43" s="90" t="s">
        <v>225</v>
      </c>
      <c r="C43" s="1"/>
      <c r="D43" s="13"/>
      <c r="E43" s="59">
        <v>2</v>
      </c>
      <c r="F43" s="59">
        <v>2</v>
      </c>
      <c r="G43" s="1"/>
      <c r="H43" s="278">
        <v>5147</v>
      </c>
      <c r="I43" s="278">
        <v>1118</v>
      </c>
      <c r="J43" s="278">
        <v>1170.4000000000001</v>
      </c>
      <c r="K43" s="26">
        <f>SUM(H43:J43)*E43</f>
        <v>14870.8</v>
      </c>
      <c r="L43" s="26">
        <f>SUM(H43:J43)*F43</f>
        <v>14870.8</v>
      </c>
    </row>
    <row r="44" spans="1:20" ht="15.5" x14ac:dyDescent="0.35">
      <c r="A44" s="90" t="s">
        <v>179</v>
      </c>
      <c r="C44" s="1"/>
      <c r="D44" s="13"/>
      <c r="E44" s="59">
        <v>0</v>
      </c>
      <c r="F44" s="59">
        <v>0</v>
      </c>
      <c r="G44" s="1"/>
      <c r="H44" s="278">
        <v>2510</v>
      </c>
      <c r="I44" s="278">
        <v>500</v>
      </c>
      <c r="J44" s="278">
        <v>490</v>
      </c>
      <c r="K44" s="26">
        <f>SUM(H44:J44)*E44</f>
        <v>0</v>
      </c>
      <c r="L44" s="26">
        <f>SUM(H44:J44)*F44</f>
        <v>0</v>
      </c>
    </row>
    <row r="45" spans="1:20" ht="15.5" x14ac:dyDescent="0.35">
      <c r="A45" s="90" t="s">
        <v>180</v>
      </c>
      <c r="C45" s="1"/>
      <c r="D45" s="13"/>
      <c r="E45" s="59">
        <v>0</v>
      </c>
      <c r="F45" s="59">
        <v>0</v>
      </c>
      <c r="G45" s="1"/>
      <c r="H45" s="278">
        <v>1993</v>
      </c>
      <c r="I45" s="278">
        <v>412</v>
      </c>
      <c r="J45" s="278">
        <v>435</v>
      </c>
      <c r="K45" s="26">
        <f>SUM(H45:J45)*E45</f>
        <v>0</v>
      </c>
      <c r="L45" s="26">
        <f>SUM(H45:J45)*F45</f>
        <v>0</v>
      </c>
    </row>
    <row r="46" spans="1:20" ht="15.5" x14ac:dyDescent="0.35">
      <c r="A46" s="90" t="s">
        <v>217</v>
      </c>
      <c r="C46" s="1"/>
      <c r="D46" s="13"/>
      <c r="E46" s="59">
        <v>2</v>
      </c>
      <c r="F46" s="59">
        <v>0</v>
      </c>
      <c r="G46" s="1"/>
      <c r="H46" s="278">
        <v>1625</v>
      </c>
      <c r="I46" s="278">
        <v>370</v>
      </c>
      <c r="J46" s="278">
        <v>408</v>
      </c>
      <c r="K46" s="26">
        <f>SUM(H46:J46)*E46</f>
        <v>4806</v>
      </c>
      <c r="L46" s="26">
        <f>SUM(H46:J46)*F46</f>
        <v>0</v>
      </c>
    </row>
    <row r="47" spans="1:20" ht="15.5" x14ac:dyDescent="0.35">
      <c r="A47" s="90" t="s">
        <v>181</v>
      </c>
      <c r="C47" s="1"/>
      <c r="D47" s="13"/>
      <c r="E47" s="59">
        <v>0</v>
      </c>
      <c r="F47" s="59">
        <v>0</v>
      </c>
      <c r="G47" s="1"/>
      <c r="H47" s="278">
        <v>9259</v>
      </c>
      <c r="I47" s="278">
        <v>2344</v>
      </c>
      <c r="J47" s="278">
        <v>2320</v>
      </c>
      <c r="K47" s="98">
        <f>SUM(H47:J47)*E47</f>
        <v>0</v>
      </c>
      <c r="L47" s="98">
        <f>SUM(H47:J47)*F47</f>
        <v>0</v>
      </c>
    </row>
    <row r="48" spans="1:20" ht="15.5" x14ac:dyDescent="0.35">
      <c r="A48" s="90"/>
      <c r="C48" s="1"/>
      <c r="D48" s="13"/>
      <c r="E48" s="91"/>
      <c r="F48" s="94"/>
      <c r="G48" s="1"/>
      <c r="H48" s="13"/>
      <c r="I48" s="91"/>
      <c r="J48" s="104" t="s">
        <v>7</v>
      </c>
      <c r="K48" s="26">
        <f>SUM(K43:K47)</f>
        <v>19676.8</v>
      </c>
      <c r="L48" s="26">
        <f>SUM(L43:L47)</f>
        <v>14870.8</v>
      </c>
    </row>
    <row r="49" spans="1:12" ht="15.5" x14ac:dyDescent="0.35">
      <c r="A49" s="90"/>
      <c r="C49" s="1"/>
      <c r="D49" s="13"/>
      <c r="E49" s="91"/>
      <c r="F49" s="94"/>
      <c r="G49" s="1"/>
      <c r="H49" s="13"/>
      <c r="I49" s="91"/>
      <c r="J49" s="104"/>
      <c r="K49" s="26"/>
    </row>
    <row r="50" spans="1:12" ht="15.75" customHeight="1" x14ac:dyDescent="0.3">
      <c r="A50" s="114" t="s">
        <v>187</v>
      </c>
      <c r="B50" s="79"/>
      <c r="C50" s="115"/>
      <c r="D50" s="115"/>
      <c r="E50" s="79"/>
      <c r="F50" s="79"/>
      <c r="G50" s="79"/>
      <c r="H50" s="79"/>
      <c r="I50" s="79"/>
      <c r="J50" s="79"/>
      <c r="K50" s="79"/>
      <c r="L50" s="79"/>
    </row>
    <row r="51" spans="1:12" ht="15.5" x14ac:dyDescent="0.35">
      <c r="A51" s="1"/>
      <c r="C51" s="1"/>
      <c r="D51" s="13"/>
      <c r="E51" s="13"/>
      <c r="F51" s="1"/>
      <c r="G51" s="1"/>
      <c r="H51" s="13"/>
      <c r="I51" s="1"/>
      <c r="J51" s="1"/>
    </row>
  </sheetData>
  <sheetProtection algorithmName="SHA-512" hashValue="fhfzLx87+uRTd1ZQcKyrtESFzs9kfLZ38Av5Kb0Jry7XwwxGfUqy00ZQGEaRU135JSnSKzJHAsUKRpzgM01bpQ==" saltValue="XR6l83kIuZMtczUJOiqLFA==" spinCount="100000" sheet="1" objects="1" scenarios="1"/>
  <mergeCells count="11">
    <mergeCell ref="A39:L39"/>
    <mergeCell ref="E41:F41"/>
    <mergeCell ref="H41:J41"/>
    <mergeCell ref="K41:K42"/>
    <mergeCell ref="L41:L42"/>
    <mergeCell ref="H24:J24"/>
    <mergeCell ref="A22:L22"/>
    <mergeCell ref="D3:F3"/>
    <mergeCell ref="H3:J3"/>
    <mergeCell ref="A1:L1"/>
    <mergeCell ref="D24:F24"/>
  </mergeCells>
  <pageMargins left="0.74803149606299213" right="0.74803149606299213" top="0.98425196850393704" bottom="0.98425196850393704" header="0.51181102362204722" footer="0.51181102362204722"/>
  <pageSetup scale="67" firstPageNumber="7" orientation="portrait" useFirstPageNumber="1" r:id="rId1"/>
  <headerFooter scaleWithDoc="0">
    <oddHeader>&amp;LGuidelines: Pasture Production Costs&amp;R&amp;P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1">
    <pageSetUpPr fitToPage="1"/>
  </sheetPr>
  <dimension ref="A1:Q63"/>
  <sheetViews>
    <sheetView showGridLines="0" zoomScaleNormal="100" workbookViewId="0">
      <selection sqref="A1:H1"/>
    </sheetView>
  </sheetViews>
  <sheetFormatPr defaultColWidth="11.453125" defaultRowHeight="15.5" x14ac:dyDescent="0.25"/>
  <cols>
    <col min="1" max="1" width="3.81640625" style="41" customWidth="1"/>
    <col min="2" max="2" width="27.08984375" style="41" customWidth="1"/>
    <col min="3" max="3" width="8.81640625" style="41" customWidth="1"/>
    <col min="4" max="6" width="11.453125" style="41"/>
    <col min="7" max="7" width="11.453125" style="41" customWidth="1"/>
    <col min="8" max="8" width="18" style="41" customWidth="1"/>
    <col min="9" max="9" width="4.81640625" style="41" customWidth="1"/>
    <col min="10" max="16384" width="11.453125" style="41"/>
  </cols>
  <sheetData>
    <row r="1" spans="1:8" ht="20" x14ac:dyDescent="0.25">
      <c r="A1" s="327" t="s">
        <v>202</v>
      </c>
      <c r="B1" s="327"/>
      <c r="C1" s="327"/>
      <c r="D1" s="327"/>
      <c r="E1" s="327"/>
      <c r="F1" s="327"/>
      <c r="G1" s="327"/>
      <c r="H1" s="327"/>
    </row>
    <row r="2" spans="1:8" ht="7.5" customHeight="1" x14ac:dyDescent="0.25">
      <c r="A2" s="116"/>
    </row>
    <row r="3" spans="1:8" ht="15" customHeight="1" x14ac:dyDescent="0.25">
      <c r="A3" s="116"/>
      <c r="B3" s="117" t="s">
        <v>212</v>
      </c>
    </row>
    <row r="4" spans="1:8" ht="15" customHeight="1" x14ac:dyDescent="0.25">
      <c r="A4" s="116"/>
      <c r="B4" s="300" t="str">
        <f>"Includes:   (eg. ($"&amp;TEXT(Input!F39,"0.00")&amp;" custom land preparation + $"&amp;TEXT(Input!I48,"0.00")&amp;" grass seed + $"&amp;TEXT(Input!I49,"0.00")&amp;" oat nurse crop seed + $"&amp;TEXT(Input!L68,"0.00")&amp;" est. fertilizer + $"&amp;TEXT(Input!E74,"0.00")&amp;" custom fertilizer applic. + $"&amp;TEXT(Input!H83,"0.00")&amp;" est. herbicide + $"&amp;TEXT(Input!E86,"0.00")&amp;" custom herbicide applic. - $"&amp;TEXT(Input!I115,"0.00")&amp;" greenfeed forage value) / "&amp;Input!E41&amp;" productive years = $"&amp;TEXT(Summary!C15,"0.00")&amp;" cost per acre annually)"</f>
        <v>Includes:   (eg. ($133.00 custom land preparation + $42.50 grass seed + $11.25 oat nurse crop seed + $116.97 est. fertilizer + $10.00 custom fertilizer applic. + $14.00 est. herbicide + $8.00 custom herbicide applic. - $120.00 greenfeed forage value) / 10 productive years = $21.57 cost per acre annually)</v>
      </c>
      <c r="C4" s="300"/>
      <c r="D4" s="300"/>
      <c r="E4" s="300"/>
      <c r="F4" s="300"/>
      <c r="G4" s="300"/>
      <c r="H4" s="300"/>
    </row>
    <row r="5" spans="1:8" ht="15" customHeight="1" x14ac:dyDescent="0.25">
      <c r="A5" s="116"/>
      <c r="B5" s="300"/>
      <c r="C5" s="300"/>
      <c r="D5" s="300"/>
      <c r="E5" s="300"/>
      <c r="F5" s="300"/>
      <c r="G5" s="300"/>
      <c r="H5" s="300"/>
    </row>
    <row r="6" spans="1:8" ht="15" customHeight="1" x14ac:dyDescent="0.25">
      <c r="A6" s="116"/>
      <c r="B6" s="300"/>
      <c r="C6" s="300"/>
      <c r="D6" s="300"/>
      <c r="E6" s="300"/>
      <c r="F6" s="300"/>
      <c r="G6" s="300"/>
      <c r="H6" s="300"/>
    </row>
    <row r="7" spans="1:8" ht="7.5" customHeight="1" x14ac:dyDescent="0.25">
      <c r="A7" s="116"/>
    </row>
    <row r="8" spans="1:8" x14ac:dyDescent="0.25">
      <c r="A8" s="116"/>
      <c r="B8" s="117" t="s">
        <v>213</v>
      </c>
    </row>
    <row r="9" spans="1:8" ht="15" customHeight="1" x14ac:dyDescent="0.25">
      <c r="A9" s="116"/>
      <c r="B9" s="41" t="str">
        <f>"Assumes "&amp;Input!F91&amp;"% of fence value for annual maintenance &amp; repair."</f>
        <v>Assumes 2% of fence value for annual maintenance &amp; repair.</v>
      </c>
    </row>
    <row r="10" spans="1:8" ht="15" customHeight="1" x14ac:dyDescent="0.25">
      <c r="A10" s="116"/>
      <c r="B10" s="113" t="str">
        <f>"  (eg. ($"&amp;TEXT('Fixed Cost Input'!D29,"#,###")&amp;" total fence cost x "&amp;Input!F91&amp;"% annual repair cost) / "&amp;Input!E4&amp;" pasture acres = $"&amp;TEXT(Summary!C18,"0.00")&amp;" cost per acre)"</f>
        <v xml:space="preserve">  (eg. ($19,677 total fence cost x 2% annual repair cost) / 160 pasture acres = $2.46 cost per acre)</v>
      </c>
    </row>
    <row r="11" spans="1:8" ht="7.5" customHeight="1" x14ac:dyDescent="0.25">
      <c r="A11" s="116"/>
    </row>
    <row r="12" spans="1:8" x14ac:dyDescent="0.25">
      <c r="A12" s="116"/>
      <c r="B12" s="117" t="s">
        <v>214</v>
      </c>
    </row>
    <row r="13" spans="1:8" ht="15" customHeight="1" x14ac:dyDescent="0.25">
      <c r="A13" s="116"/>
      <c r="B13" s="41" t="str">
        <f>"Assumes "&amp;Input!F92&amp;"% of other capital costs for annual maintenance &amp; repair."</f>
        <v>Assumes 1% of other capital costs for annual maintenance &amp; repair.</v>
      </c>
    </row>
    <row r="14" spans="1:8" ht="15" customHeight="1" x14ac:dyDescent="0.25">
      <c r="A14" s="116"/>
      <c r="B14" s="113" t="str">
        <f>"  (eg. ($"&amp;TEXT('Fixed Cost Input'!D27+'Fixed Cost Input'!D28,"#,###")&amp;" total facilites cost x "&amp;Input!F92&amp;"% annual repair cost) / "&amp;Input!E4&amp;" pasture acres = $"&amp;TEXT(Summary!C19,"0.00")&amp;" cost per acre)"</f>
        <v xml:space="preserve">  (eg. ($8,000 total facilites cost x 1% annual repair cost) / 160 pasture acres = $0.50 cost per acre)</v>
      </c>
    </row>
    <row r="15" spans="1:8" ht="7.5" customHeight="1" x14ac:dyDescent="0.25">
      <c r="A15" s="116"/>
    </row>
    <row r="16" spans="1:8" x14ac:dyDescent="0.25">
      <c r="A16" s="116"/>
      <c r="B16" s="117" t="s">
        <v>206</v>
      </c>
    </row>
    <row r="17" spans="1:12" ht="15.75" customHeight="1" x14ac:dyDescent="0.25">
      <c r="B17" s="329" t="s">
        <v>207</v>
      </c>
      <c r="C17" s="330"/>
      <c r="D17" s="330"/>
      <c r="E17" s="330"/>
      <c r="F17" s="330"/>
      <c r="G17" s="330"/>
    </row>
    <row r="18" spans="1:12" x14ac:dyDescent="0.25">
      <c r="B18" s="330"/>
      <c r="C18" s="330"/>
      <c r="D18" s="330"/>
      <c r="E18" s="330"/>
      <c r="F18" s="330"/>
      <c r="G18" s="330"/>
    </row>
    <row r="19" spans="1:12" ht="7.5" customHeight="1" x14ac:dyDescent="0.25"/>
    <row r="20" spans="1:12" x14ac:dyDescent="0.25">
      <c r="A20" s="116"/>
      <c r="B20" s="117" t="s">
        <v>203</v>
      </c>
    </row>
    <row r="21" spans="1:12" ht="15" customHeight="1" x14ac:dyDescent="0.25">
      <c r="A21" s="116"/>
      <c r="B21" s="328" t="str">
        <f>"The average for the province was based on land tax assessment and mill rates of a sample of municipalities with pasture less provincial tax rebate. "</f>
        <v xml:space="preserve">The average for the province was based on land tax assessment and mill rates of a sample of municipalities with pasture less provincial tax rebate. </v>
      </c>
      <c r="C21" s="328"/>
      <c r="D21" s="328"/>
      <c r="E21" s="328"/>
      <c r="F21" s="328"/>
      <c r="G21" s="328"/>
      <c r="H21" s="328"/>
    </row>
    <row r="22" spans="1:12" x14ac:dyDescent="0.25">
      <c r="A22" s="116"/>
      <c r="B22" s="328"/>
      <c r="C22" s="328"/>
      <c r="D22" s="328"/>
      <c r="E22" s="328"/>
      <c r="F22" s="328"/>
      <c r="G22" s="328"/>
      <c r="H22" s="328"/>
    </row>
    <row r="23" spans="1:12" ht="7.5" customHeight="1" x14ac:dyDescent="0.25">
      <c r="A23" s="116"/>
    </row>
    <row r="24" spans="1:12" ht="15" customHeight="1" x14ac:dyDescent="0.25">
      <c r="A24" s="116"/>
      <c r="B24" s="117" t="s">
        <v>204</v>
      </c>
    </row>
    <row r="25" spans="1:12" x14ac:dyDescent="0.25">
      <c r="B25" s="41" t="str">
        <f>"Interest charges on operating costs are calculated at "&amp;Input!E103&amp;"% for six months."</f>
        <v>Interest charges on operating costs are calculated at 9% for six months.</v>
      </c>
    </row>
    <row r="26" spans="1:12" ht="7.5" customHeight="1" x14ac:dyDescent="0.25">
      <c r="A26" s="116"/>
    </row>
    <row r="27" spans="1:12" x14ac:dyDescent="0.25">
      <c r="A27" s="116"/>
      <c r="B27" s="117" t="s">
        <v>242</v>
      </c>
    </row>
    <row r="28" spans="1:12" ht="15.75" customHeight="1" x14ac:dyDescent="0.25">
      <c r="B28" s="328" t="str">
        <f>"Based on approximate average pasture values.  Budget assumed improved pasture "&amp;'Fixed Cost Input'!E9*100&amp;"% financed at "&amp;'Fixed Cost Input'!D13*100&amp;"% for "&amp;'Fixed Cost Input'!E13&amp;" years, plus "&amp;'Fixed Cost Input'!E10*100&amp;"% land equity opportunity cost and unimproved pasture "&amp;'Fixed Cost Input'!I9*100&amp;"% financed at "&amp;'Fixed Cost Input'!H13*100&amp;"% for "&amp;'Fixed Cost Input'!I13&amp;" years, plus "&amp;'Fixed Cost Input'!I10*100&amp;"% land equity opportunity cost. Budget can be used to estimate cashflow by removing investment cost."</f>
        <v>Based on approximate average pasture values.  Budget assumed improved pasture 25% financed at 6% for 25 years, plus 0% land equity opportunity cost and unimproved pasture 25% financed at 6% for 25 years, plus 0% land equity opportunity cost. Budget can be used to estimate cashflow by removing investment cost.</v>
      </c>
      <c r="C28" s="328"/>
      <c r="D28" s="328"/>
      <c r="E28" s="328"/>
      <c r="F28" s="328"/>
      <c r="G28" s="328"/>
      <c r="H28" s="328"/>
      <c r="I28" s="159"/>
      <c r="J28" s="159"/>
      <c r="K28" s="159"/>
      <c r="L28" s="159"/>
    </row>
    <row r="29" spans="1:12" ht="15.75" customHeight="1" x14ac:dyDescent="0.25">
      <c r="B29" s="328"/>
      <c r="C29" s="328"/>
      <c r="D29" s="328"/>
      <c r="E29" s="328"/>
      <c r="F29" s="328"/>
      <c r="G29" s="328"/>
      <c r="H29" s="328"/>
      <c r="I29" s="159"/>
      <c r="J29" s="159"/>
      <c r="K29" s="159"/>
      <c r="L29" s="159"/>
    </row>
    <row r="30" spans="1:12" ht="15.75" customHeight="1" x14ac:dyDescent="0.25">
      <c r="B30" s="328"/>
      <c r="C30" s="328"/>
      <c r="D30" s="328"/>
      <c r="E30" s="328"/>
      <c r="F30" s="328"/>
      <c r="G30" s="328"/>
      <c r="H30" s="328"/>
      <c r="I30" s="159"/>
      <c r="J30" s="159"/>
      <c r="K30" s="159"/>
      <c r="L30" s="159"/>
    </row>
    <row r="31" spans="1:12" ht="15.75" customHeight="1" x14ac:dyDescent="0.25">
      <c r="A31" s="159"/>
      <c r="B31" s="328"/>
      <c r="C31" s="328"/>
      <c r="D31" s="328"/>
      <c r="E31" s="328"/>
      <c r="F31" s="328"/>
      <c r="G31" s="328"/>
      <c r="H31" s="328"/>
      <c r="I31" s="159"/>
      <c r="J31" s="159"/>
      <c r="K31" s="159"/>
      <c r="L31" s="159"/>
    </row>
    <row r="32" spans="1:12" s="164" customFormat="1" ht="12.75" customHeight="1" x14ac:dyDescent="0.35">
      <c r="B32" s="167" t="s">
        <v>249</v>
      </c>
      <c r="C32" s="163"/>
      <c r="D32" s="163"/>
      <c r="E32" s="163"/>
      <c r="F32" s="163"/>
      <c r="G32" s="163"/>
      <c r="H32" s="163"/>
      <c r="I32" s="163"/>
      <c r="J32" s="163"/>
      <c r="K32" s="163"/>
      <c r="L32" s="163"/>
    </row>
    <row r="33" spans="1:12" s="164" customFormat="1" ht="12.75" customHeight="1" x14ac:dyDescent="0.35">
      <c r="B33" s="162" t="str">
        <f>" Improved Pasture (based on "&amp;TEXT('Fixed Cost Input'!F6*'Fixed Cost Input'!E9,"$#,###")&amp;" Mortgage) = $"&amp;TEXT('Fixed Cost Input'!F14,"#,###")&amp;" payment per year) / "&amp;'Fixed Cost Input'!E4&amp;" acres = $"&amp;TEXT('Fixed Cost Input'!E14,"0.00")&amp;"/acre"</f>
        <v xml:space="preserve"> Improved Pasture (based on $75,000 Mortgage) = $5,867 payment per year) / 160 acres = $36.67/acre</v>
      </c>
      <c r="C33" s="163"/>
      <c r="D33" s="163"/>
      <c r="E33" s="163"/>
      <c r="F33" s="163"/>
      <c r="G33" s="163"/>
      <c r="H33" s="163"/>
      <c r="I33" s="163"/>
      <c r="J33" s="163"/>
      <c r="K33" s="163"/>
      <c r="L33" s="163"/>
    </row>
    <row r="34" spans="1:12" s="164" customFormat="1" ht="12.75" customHeight="1" x14ac:dyDescent="0.35">
      <c r="B34" s="162" t="str">
        <f>" Unimproved Pasture (based on "&amp;TEXT('Fixed Cost Input'!J6*'Fixed Cost Input'!I9,"$#,###")&amp;" Mortgage) = $"&amp;TEXT('Fixed Cost Input'!J14,"#,###")&amp;" payment per year) / "&amp;'Fixed Cost Input'!I4&amp;" acres = $"&amp;TEXT('Fixed Cost Input'!I14,"0.00")&amp;"/acre"</f>
        <v xml:space="preserve"> Unimproved Pasture (based on $33,750 Mortgage) = $2,640 payment per year) / 160 acres = $16.50/acre</v>
      </c>
      <c r="C34" s="163"/>
      <c r="D34" s="163"/>
      <c r="E34" s="163"/>
      <c r="F34" s="163"/>
      <c r="G34" s="163"/>
      <c r="H34" s="163"/>
      <c r="I34" s="163"/>
      <c r="J34" s="163"/>
      <c r="K34" s="163"/>
      <c r="L34" s="163"/>
    </row>
    <row r="35" spans="1:12" s="164" customFormat="1" ht="12.75" customHeight="1" x14ac:dyDescent="0.35">
      <c r="B35" s="167" t="s">
        <v>250</v>
      </c>
      <c r="C35" s="166"/>
      <c r="D35" s="166"/>
      <c r="E35" s="166"/>
      <c r="F35" s="166"/>
      <c r="G35" s="166"/>
      <c r="H35" s="166"/>
      <c r="I35" s="166"/>
      <c r="J35" s="166"/>
      <c r="K35" s="166"/>
      <c r="L35" s="166"/>
    </row>
    <row r="36" spans="1:12" s="164" customFormat="1" ht="12.75" customHeight="1" x14ac:dyDescent="0.35">
      <c r="B36" s="165" t="str">
        <f>" Improved Pasture = (Total Inv. x Owned Equity %) x Inv. Rate %  (eg. (($"&amp;TEXT('Fixed Cost Input'!E6,"#,###")&amp;" x "&amp;'Fixed Cost Input'!E8*100&amp;"%) x "&amp;'Fixed Cost Input'!E10*100&amp;"%) = $"&amp;TEXT('Fixed Cost Input'!E15,"0.00")&amp;"/acre"</f>
        <v xml:space="preserve"> Improved Pasture = (Total Inv. x Owned Equity %) x Inv. Rate %  (eg. (($1,875 x 75%) x 0%) = $0.00/acre</v>
      </c>
      <c r="C36" s="166"/>
      <c r="D36" s="166"/>
      <c r="E36" s="166"/>
      <c r="F36" s="166"/>
      <c r="G36" s="166"/>
      <c r="H36" s="166"/>
      <c r="I36" s="166"/>
      <c r="J36" s="166"/>
      <c r="K36" s="166"/>
      <c r="L36" s="166"/>
    </row>
    <row r="37" spans="1:12" s="164" customFormat="1" ht="12.75" customHeight="1" x14ac:dyDescent="0.35">
      <c r="B37" s="165" t="str">
        <f>" Unimproved Pasture = (Total Inv. x Owned Equity %) x Inv. Rate %  (eg. (($"&amp;TEXT('Fixed Cost Input'!I6,"#,###")&amp;" x "&amp;'Fixed Cost Input'!I8*100&amp;"%) x "&amp;'Fixed Cost Input'!I10*100&amp;"%) = $"&amp;TEXT('Fixed Cost Input'!I15,"0.00")&amp;"/acre"</f>
        <v xml:space="preserve"> Unimproved Pasture = (Total Inv. x Owned Equity %) x Inv. Rate %  (eg. (($844 x 75%) x 0%) = $0.00/acre</v>
      </c>
      <c r="C37" s="166"/>
      <c r="D37" s="166"/>
      <c r="E37" s="166"/>
      <c r="F37" s="166"/>
      <c r="G37" s="166"/>
      <c r="H37" s="166"/>
      <c r="I37" s="166"/>
      <c r="J37" s="166"/>
      <c r="K37" s="166"/>
      <c r="L37" s="166"/>
    </row>
    <row r="38" spans="1:12" ht="7.5" customHeight="1" x14ac:dyDescent="0.25">
      <c r="A38" s="116"/>
    </row>
    <row r="39" spans="1:12" x14ac:dyDescent="0.25">
      <c r="A39" s="116"/>
      <c r="B39" s="117" t="s">
        <v>215</v>
      </c>
    </row>
    <row r="40" spans="1:12" x14ac:dyDescent="0.25">
      <c r="A40" s="116"/>
      <c r="B40" s="41" t="s">
        <v>248</v>
      </c>
    </row>
    <row r="41" spans="1:12" x14ac:dyDescent="0.25">
      <c r="A41" s="116"/>
      <c r="B41" s="41" t="str">
        <f>"                                                         2"</f>
        <v xml:space="preserve">                                                         2</v>
      </c>
    </row>
    <row r="42" spans="1:12" s="164" customFormat="1" ht="12.75" customHeight="1" x14ac:dyDescent="0.35">
      <c r="B42" s="167" t="s">
        <v>251</v>
      </c>
      <c r="C42" s="163"/>
      <c r="D42" s="163"/>
      <c r="E42" s="163"/>
      <c r="F42" s="163"/>
      <c r="G42" s="163"/>
      <c r="H42" s="163"/>
      <c r="I42" s="163"/>
      <c r="J42" s="163"/>
      <c r="K42" s="163"/>
      <c r="L42" s="163"/>
    </row>
    <row r="43" spans="1:12" ht="15" customHeight="1" x14ac:dyDescent="0.25">
      <c r="A43" s="116"/>
      <c r="B43" s="168" t="str">
        <f>" Improved Pasture: ((($"&amp;TEXT('Fixed Cost Input'!D30,"#,###")&amp;" + $"&amp;TEXT('Fixed Cost Input'!D30*('Fixed Cost Input'!F30/100),"0.00")&amp;") / 2) x "&amp;'Fixed Cost Input'!E32&amp;"% investment rate) / "&amp;Input!E4&amp;" acres = $"&amp;TEXT('Fixed Cost Input'!E35,"0.00")&amp;" cost per acre"</f>
        <v xml:space="preserve"> Improved Pasture: ((($27,677 + $0.00) / 2) x 2.5% investment rate) / 160 acres = $2.16 cost per acre</v>
      </c>
      <c r="C43" s="168"/>
      <c r="D43" s="168"/>
      <c r="E43" s="168"/>
      <c r="F43" s="168"/>
      <c r="G43" s="168"/>
      <c r="H43" s="168"/>
    </row>
    <row r="44" spans="1:12" ht="15" customHeight="1" x14ac:dyDescent="0.25">
      <c r="A44" s="116"/>
      <c r="B44" s="168" t="str">
        <f>" Unimproved Pasture: ((($"&amp;TEXT('Fixed Cost Input'!H30,"#,###")&amp;" + $"&amp;TEXT('Fixed Cost Input'!H30*('Fixed Cost Input'!F31/100),"0.00")&amp;") / 2) x "&amp;'Fixed Cost Input'!E32&amp;"% investment rate) / "&amp;'Fixed Cost Input'!I4&amp;" acres = $"&amp;TEXT('Fixed Cost Input'!I35,"0.00")&amp;" cost per acre"</f>
        <v xml:space="preserve"> Unimproved Pasture: ((($22,871 + $0.00) / 2) x 2.5% investment rate) / 160 acres = $1.79 cost per acre</v>
      </c>
      <c r="C44" s="168"/>
      <c r="D44" s="168"/>
      <c r="E44" s="168"/>
      <c r="F44" s="168"/>
      <c r="G44" s="168"/>
      <c r="H44" s="168"/>
    </row>
    <row r="45" spans="1:12" ht="7.5" customHeight="1" x14ac:dyDescent="0.25">
      <c r="A45" s="116"/>
    </row>
    <row r="46" spans="1:12" x14ac:dyDescent="0.25">
      <c r="A46" s="116"/>
      <c r="B46" s="117" t="s">
        <v>218</v>
      </c>
    </row>
    <row r="47" spans="1:12" x14ac:dyDescent="0.25">
      <c r="A47" s="116"/>
      <c r="B47" s="41" t="s">
        <v>247</v>
      </c>
    </row>
    <row r="48" spans="1:12" x14ac:dyDescent="0.25">
      <c r="A48" s="116"/>
      <c r="B48" s="41" t="str">
        <f>"                                                      Useful Life"</f>
        <v xml:space="preserve">                                                      Useful Life</v>
      </c>
    </row>
    <row r="49" spans="1:17" s="164" customFormat="1" ht="12.75" customHeight="1" x14ac:dyDescent="0.35">
      <c r="B49" s="167" t="s">
        <v>252</v>
      </c>
      <c r="C49" s="163"/>
      <c r="D49" s="163"/>
      <c r="E49" s="163"/>
      <c r="F49" s="163"/>
      <c r="G49" s="163"/>
      <c r="H49" s="163"/>
      <c r="I49" s="163"/>
      <c r="J49" s="163"/>
      <c r="K49" s="163"/>
      <c r="L49" s="163"/>
    </row>
    <row r="50" spans="1:17" ht="12.75" customHeight="1" x14ac:dyDescent="0.25">
      <c r="A50" s="116"/>
      <c r="B50" s="168" t="str">
        <f>"  Improved Pasture:  (($"&amp;TEXT('Fixed Cost Input'!D30,"#,###")&amp;" - $"&amp;TEXT('Fixed Cost Input'!D30*('Fixed Cost Input'!F30/100),"0.00")&amp;") / "&amp;'Fixed Cost Input'!E30&amp;" years useful life) / "&amp;Input!E4&amp;" pasture acres = $"&amp;TEXT('Fixed Cost Input'!E36,"0.00")&amp;" cost per acre"</f>
        <v xml:space="preserve">  Improved Pasture:  (($27,677 - $0.00) / 20 years useful life) / 160 pasture acres = $8.65 cost per acre</v>
      </c>
      <c r="C50" s="113"/>
      <c r="D50" s="113"/>
      <c r="E50" s="113"/>
      <c r="F50" s="113"/>
      <c r="G50" s="113"/>
      <c r="H50" s="113"/>
    </row>
    <row r="51" spans="1:17" ht="15" customHeight="1" x14ac:dyDescent="0.25">
      <c r="A51" s="116"/>
      <c r="B51" s="168" t="str">
        <f>"  Unimproved Pasture:  (($"&amp;TEXT('Fixed Cost Input'!H30,"#,###")&amp;" - $"&amp;TEXT('Fixed Cost Input'!H30*('Fixed Cost Input'!J30/100),"0.00")&amp;") / "&amp;'Fixed Cost Input'!I30&amp;" years useful life) / "&amp;'Fixed Cost Input'!I4&amp;" pasture acres = $"&amp;TEXT('Fixed Cost Input'!I36,"0.00")&amp;" cost per acre"</f>
        <v xml:space="preserve">  Unimproved Pasture:  (($22,871 - $0.00) / 20 years useful life) / 160 pasture acres = $7.15 cost per acre</v>
      </c>
      <c r="C51" s="113"/>
      <c r="D51" s="113"/>
      <c r="E51" s="113"/>
      <c r="F51" s="113"/>
      <c r="G51" s="113"/>
      <c r="H51" s="113"/>
    </row>
    <row r="52" spans="1:17" ht="7.5" customHeight="1" x14ac:dyDescent="0.25">
      <c r="A52" s="116"/>
    </row>
    <row r="53" spans="1:17" x14ac:dyDescent="0.25">
      <c r="B53" s="126" t="s">
        <v>216</v>
      </c>
    </row>
    <row r="54" spans="1:17" ht="15" customHeight="1" x14ac:dyDescent="0.25">
      <c r="B54" s="113" t="str">
        <f>"Total Animal Animal Month's (AUM's) = "&amp;Input!E8&amp;" head x "&amp;Input!E13&amp;" Metabolic Animal Unit Value x "&amp;Input!E16&amp;" months = "&amp;Input!E19</f>
        <v>Total Animal Animal Month's (AUM's) = 94 head x 1.25 Metabolic Animal Unit Value x 4.5 months = 529</v>
      </c>
      <c r="C54" s="113"/>
      <c r="D54" s="113"/>
      <c r="E54" s="113"/>
      <c r="F54" s="113"/>
      <c r="G54" s="113"/>
      <c r="H54" s="113"/>
    </row>
    <row r="55" spans="1:17" ht="8.25" customHeight="1" x14ac:dyDescent="0.25">
      <c r="B55" s="113"/>
    </row>
    <row r="56" spans="1:17" x14ac:dyDescent="0.25">
      <c r="B56" s="300" t="str">
        <f>"Total AUM's - Available Per Acre = "&amp;Input!E19&amp;" Total AUM's / "&amp;Input!E4&amp;" acres = "&amp;Input!E20</f>
        <v>Total AUM's - Available Per Acre = 529 Total AUM's / 160 acres = 3.31</v>
      </c>
      <c r="C56" s="300"/>
      <c r="D56" s="300"/>
      <c r="E56" s="300"/>
      <c r="F56" s="300"/>
      <c r="G56" s="300"/>
      <c r="H56" s="300"/>
    </row>
    <row r="57" spans="1:17" ht="8.25" customHeight="1" x14ac:dyDescent="0.25">
      <c r="B57" s="113"/>
    </row>
    <row r="58" spans="1:17" x14ac:dyDescent="0.25">
      <c r="B58" s="113" t="str">
        <f>"Total Pasture Cost Per AUM =   $"&amp;TEXT(Summary!D45,"0.00")&amp;" cost per acre / "&amp;Input!E19&amp;" AUM = $"&amp;TEXT(Input!E22,"0.00")</f>
        <v>Total Pasture Cost Per AUM =   $17897.77 cost per acre / 529 AUM = $33.83</v>
      </c>
    </row>
    <row r="59" spans="1:17" s="120" customFormat="1" ht="18" customHeight="1" x14ac:dyDescent="0.35">
      <c r="A59" s="244"/>
      <c r="B59" s="244"/>
      <c r="C59" s="244"/>
      <c r="D59" s="244"/>
      <c r="E59" s="245"/>
      <c r="F59" s="118"/>
      <c r="G59" s="118"/>
      <c r="H59" s="119" t="str">
        <f>"April, "&amp;Introduction!J13</f>
        <v>April, 2025</v>
      </c>
      <c r="J59" s="121"/>
      <c r="K59" s="122"/>
      <c r="L59" s="41"/>
      <c r="O59" s="123"/>
      <c r="P59" s="124"/>
      <c r="Q59" s="124"/>
    </row>
    <row r="60" spans="1:17" s="125" customFormat="1" ht="14" x14ac:dyDescent="0.3">
      <c r="A60" s="141"/>
    </row>
    <row r="61" spans="1:17" x14ac:dyDescent="0.25">
      <c r="A61" s="113"/>
    </row>
    <row r="62" spans="1:17" x14ac:dyDescent="0.35">
      <c r="A62" s="1"/>
    </row>
    <row r="63" spans="1:17" x14ac:dyDescent="0.35">
      <c r="A63" s="1"/>
    </row>
  </sheetData>
  <sheetProtection algorithmName="SHA-512" hashValue="PDi4i+2LX/JfX4CUsTMVzY3kMfLgQ5qnPzhG2tXf01RNjljJUZCQ5Ex2bvqPHTODNvgkRSXdI1aLSQwB3hRmRA==" saltValue="dF2be0s/jb0AHzEe3P4ceQ==" spinCount="100000" sheet="1" objects="1" scenarios="1"/>
  <mergeCells count="6">
    <mergeCell ref="A1:H1"/>
    <mergeCell ref="B56:H56"/>
    <mergeCell ref="B28:H31"/>
    <mergeCell ref="B17:G18"/>
    <mergeCell ref="B21:H22"/>
    <mergeCell ref="B4:H6"/>
  </mergeCells>
  <pageMargins left="0.74803149606299213" right="0.74803149606299213" top="0.86614173228346458" bottom="0.98425196850393704" header="0.51181102362204722" footer="0.51181102362204722"/>
  <pageSetup scale="76" firstPageNumber="8" orientation="portrait" useFirstPageNumber="1" horizontalDpi="4294967295" r:id="rId1"/>
  <headerFooter scaleWithDoc="0">
    <oddHeader>&amp;L&amp;8Guidelines: Pasture Production Costs
&amp;R&amp;8&amp;P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36"/>
  <sheetViews>
    <sheetView zoomScaleNormal="100" workbookViewId="0">
      <selection sqref="A1:J1"/>
    </sheetView>
  </sheetViews>
  <sheetFormatPr defaultColWidth="9.08984375" defaultRowHeight="15.5" x14ac:dyDescent="0.35"/>
  <cols>
    <col min="1" max="1" width="3.54296875" style="2" customWidth="1"/>
    <col min="2" max="2" width="5" style="2" customWidth="1"/>
    <col min="3" max="6" width="9.08984375" style="2"/>
    <col min="7" max="7" width="9.81640625" style="2" customWidth="1"/>
    <col min="8" max="8" width="14.08984375" style="2" customWidth="1"/>
    <col min="9" max="9" width="5.54296875" style="2" customWidth="1"/>
    <col min="10" max="10" width="12.453125" style="2" customWidth="1"/>
    <col min="11" max="16384" width="9.08984375" style="2"/>
  </cols>
  <sheetData>
    <row r="1" spans="1:10" ht="21" customHeight="1" x14ac:dyDescent="0.35">
      <c r="A1" s="335" t="s">
        <v>82</v>
      </c>
      <c r="B1" s="335"/>
      <c r="C1" s="335"/>
      <c r="D1" s="335"/>
      <c r="E1" s="335"/>
      <c r="F1" s="335"/>
      <c r="G1" s="335"/>
      <c r="H1" s="335"/>
      <c r="I1" s="335"/>
      <c r="J1" s="335"/>
    </row>
    <row r="3" spans="1:10" x14ac:dyDescent="0.35">
      <c r="H3" s="33" t="s">
        <v>74</v>
      </c>
      <c r="J3" s="33" t="s">
        <v>73</v>
      </c>
    </row>
    <row r="5" spans="1:10" x14ac:dyDescent="0.35">
      <c r="B5" s="34" t="s">
        <v>84</v>
      </c>
      <c r="C5" s="2" t="s">
        <v>94</v>
      </c>
      <c r="H5" s="30">
        <f>Input!E20</f>
        <v>3.31</v>
      </c>
      <c r="J5" s="9"/>
    </row>
    <row r="6" spans="1:10" x14ac:dyDescent="0.35">
      <c r="C6" s="2" t="s">
        <v>92</v>
      </c>
    </row>
    <row r="7" spans="1:10" x14ac:dyDescent="0.35">
      <c r="B7" s="27"/>
    </row>
    <row r="8" spans="1:10" x14ac:dyDescent="0.35">
      <c r="B8" s="27" t="s">
        <v>85</v>
      </c>
      <c r="C8" s="2" t="s">
        <v>95</v>
      </c>
      <c r="H8" s="31">
        <f>Input!E13</f>
        <v>1.25</v>
      </c>
      <c r="J8" s="9"/>
    </row>
    <row r="9" spans="1:10" x14ac:dyDescent="0.35">
      <c r="C9" s="139" t="s">
        <v>222</v>
      </c>
    </row>
    <row r="11" spans="1:10" x14ac:dyDescent="0.35">
      <c r="B11" s="27" t="s">
        <v>86</v>
      </c>
      <c r="C11" s="2" t="s">
        <v>77</v>
      </c>
      <c r="H11" s="31">
        <f>H5/H8</f>
        <v>2.6480000000000001</v>
      </c>
      <c r="J11" s="9"/>
    </row>
    <row r="12" spans="1:10" x14ac:dyDescent="0.35">
      <c r="C12" s="8" t="s">
        <v>76</v>
      </c>
    </row>
    <row r="14" spans="1:10" x14ac:dyDescent="0.35">
      <c r="B14" s="27" t="s">
        <v>87</v>
      </c>
      <c r="C14" s="2" t="s">
        <v>75</v>
      </c>
      <c r="H14" s="2">
        <f>Input!E16</f>
        <v>4.5</v>
      </c>
      <c r="J14" s="9"/>
    </row>
    <row r="16" spans="1:10" x14ac:dyDescent="0.35">
      <c r="B16" s="27" t="s">
        <v>88</v>
      </c>
      <c r="C16" s="2" t="s">
        <v>79</v>
      </c>
      <c r="H16" s="31">
        <f>H11/H14</f>
        <v>0.58844444444444444</v>
      </c>
      <c r="J16" s="9"/>
    </row>
    <row r="17" spans="2:10" x14ac:dyDescent="0.35">
      <c r="C17" s="8" t="s">
        <v>78</v>
      </c>
    </row>
    <row r="19" spans="2:10" x14ac:dyDescent="0.35">
      <c r="B19" s="27" t="s">
        <v>89</v>
      </c>
      <c r="C19" s="2" t="s">
        <v>80</v>
      </c>
      <c r="H19" s="2">
        <f>Input!E4</f>
        <v>160</v>
      </c>
      <c r="J19" s="9"/>
    </row>
    <row r="21" spans="2:10" x14ac:dyDescent="0.35">
      <c r="B21" s="27" t="s">
        <v>90</v>
      </c>
      <c r="C21" s="2" t="s">
        <v>83</v>
      </c>
      <c r="H21" s="32">
        <f>H16*H19</f>
        <v>94.151111111111106</v>
      </c>
      <c r="J21" s="9"/>
    </row>
    <row r="22" spans="2:10" x14ac:dyDescent="0.35">
      <c r="C22" s="8" t="s">
        <v>81</v>
      </c>
    </row>
    <row r="24" spans="2:10" x14ac:dyDescent="0.35">
      <c r="C24" s="333" t="s">
        <v>93</v>
      </c>
      <c r="D24" s="334"/>
      <c r="E24" s="334"/>
      <c r="F24" s="334"/>
      <c r="G24" s="334"/>
      <c r="H24" s="334"/>
      <c r="I24" s="334"/>
      <c r="J24" s="334"/>
    </row>
    <row r="25" spans="2:10" x14ac:dyDescent="0.35">
      <c r="C25" s="334"/>
      <c r="D25" s="334"/>
      <c r="E25" s="334"/>
      <c r="F25" s="334"/>
      <c r="G25" s="334"/>
      <c r="H25" s="334"/>
      <c r="I25" s="334"/>
      <c r="J25" s="334"/>
    </row>
    <row r="26" spans="2:10" x14ac:dyDescent="0.35">
      <c r="C26" s="334"/>
      <c r="D26" s="334"/>
      <c r="E26" s="334"/>
      <c r="F26" s="334"/>
      <c r="G26" s="334"/>
      <c r="H26" s="334"/>
      <c r="I26" s="334"/>
      <c r="J26" s="334"/>
    </row>
    <row r="27" spans="2:10" x14ac:dyDescent="0.35">
      <c r="C27" s="36"/>
      <c r="D27" s="36"/>
      <c r="E27" s="36"/>
      <c r="F27" s="36"/>
      <c r="G27" s="36"/>
      <c r="H27" s="36"/>
      <c r="I27" s="36"/>
      <c r="J27" s="36"/>
    </row>
    <row r="28" spans="2:10" ht="15" customHeight="1" x14ac:dyDescent="0.35">
      <c r="C28" s="331" t="s">
        <v>223</v>
      </c>
      <c r="D28" s="332"/>
      <c r="E28" s="332"/>
      <c r="F28" s="332"/>
      <c r="G28" s="332"/>
      <c r="H28" s="332"/>
      <c r="I28" s="332"/>
      <c r="J28" s="332"/>
    </row>
    <row r="29" spans="2:10" ht="15" customHeight="1" x14ac:dyDescent="0.35">
      <c r="C29" s="331"/>
      <c r="D29" s="332"/>
      <c r="E29" s="332"/>
      <c r="F29" s="332"/>
      <c r="G29" s="332"/>
      <c r="H29" s="332"/>
      <c r="I29" s="332"/>
      <c r="J29" s="332"/>
    </row>
    <row r="30" spans="2:10" ht="15" customHeight="1" x14ac:dyDescent="0.35">
      <c r="C30" s="331"/>
      <c r="D30" s="332"/>
      <c r="E30" s="332"/>
      <c r="F30" s="332"/>
      <c r="G30" s="332"/>
      <c r="H30" s="332"/>
      <c r="I30" s="332"/>
      <c r="J30" s="332"/>
    </row>
    <row r="31" spans="2:10" ht="15" customHeight="1" x14ac:dyDescent="0.35">
      <c r="C31" s="331"/>
      <c r="D31" s="332"/>
      <c r="E31" s="332"/>
      <c r="F31" s="332"/>
      <c r="G31" s="332"/>
      <c r="H31" s="332"/>
      <c r="I31" s="332"/>
      <c r="J31" s="332"/>
    </row>
    <row r="32" spans="2:10" ht="15" customHeight="1" x14ac:dyDescent="0.35">
      <c r="C32" s="331"/>
      <c r="D32" s="332"/>
      <c r="E32" s="332"/>
      <c r="F32" s="332"/>
      <c r="G32" s="332"/>
      <c r="H32" s="332"/>
      <c r="I32" s="332"/>
      <c r="J32" s="332"/>
    </row>
    <row r="33" spans="3:10" ht="15" customHeight="1" x14ac:dyDescent="0.35">
      <c r="C33" s="331"/>
      <c r="D33" s="332"/>
      <c r="E33" s="332"/>
      <c r="F33" s="332"/>
      <c r="G33" s="332"/>
      <c r="H33" s="332"/>
      <c r="I33" s="332"/>
      <c r="J33" s="332"/>
    </row>
    <row r="34" spans="3:10" x14ac:dyDescent="0.35">
      <c r="C34" s="332"/>
      <c r="D34" s="332"/>
      <c r="E34" s="332"/>
      <c r="F34" s="332"/>
      <c r="G34" s="332"/>
      <c r="H34" s="332"/>
      <c r="I34" s="332"/>
      <c r="J34" s="332"/>
    </row>
    <row r="35" spans="3:10" x14ac:dyDescent="0.35">
      <c r="C35" s="332"/>
      <c r="D35" s="332"/>
      <c r="E35" s="332"/>
      <c r="F35" s="332"/>
      <c r="G35" s="332"/>
      <c r="H35" s="332"/>
      <c r="I35" s="332"/>
      <c r="J35" s="332"/>
    </row>
    <row r="36" spans="3:10" x14ac:dyDescent="0.35">
      <c r="C36" s="332"/>
      <c r="D36" s="332"/>
      <c r="E36" s="332"/>
      <c r="F36" s="332"/>
      <c r="G36" s="332"/>
      <c r="H36" s="332"/>
      <c r="I36" s="332"/>
      <c r="J36" s="332"/>
    </row>
  </sheetData>
  <sheetProtection password="C6A6" sheet="1"/>
  <mergeCells count="3">
    <mergeCell ref="C28:J36"/>
    <mergeCell ref="C24:J26"/>
    <mergeCell ref="A1:J1"/>
  </mergeCells>
  <phoneticPr fontId="20" type="noConversion"/>
  <pageMargins left="0.74803149606299213" right="0.74803149606299213" top="0.98425196850393704" bottom="0.98425196850393704" header="0.51181102362204722" footer="0.51181102362204722"/>
  <pageSetup scale="85" firstPageNumber="9" orientation="portrait" useFirstPageNumber="1" r:id="rId1"/>
  <headerFooter scaleWithDoc="0">
    <oddHeader>&amp;LGuidelines: Pasture Production Costs&amp;R&amp;P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7"/>
  <sheetViews>
    <sheetView zoomScaleNormal="100" workbookViewId="0"/>
  </sheetViews>
  <sheetFormatPr defaultRowHeight="12.5" x14ac:dyDescent="0.25"/>
  <cols>
    <col min="1" max="1" width="14.81640625" customWidth="1"/>
    <col min="2" max="3" width="14.54296875" customWidth="1"/>
    <col min="18" max="20" width="9.1796875" bestFit="1" customWidth="1"/>
  </cols>
  <sheetData>
    <row r="1" spans="1:20" ht="12.75" customHeight="1" x14ac:dyDescent="0.25">
      <c r="A1" s="279"/>
      <c r="B1" s="280"/>
      <c r="C1" s="280"/>
      <c r="D1" s="281"/>
      <c r="E1" s="339" t="s">
        <v>71</v>
      </c>
      <c r="F1" s="340"/>
      <c r="G1" s="341"/>
      <c r="H1" s="339" t="str">
        <f>"Improved Pasture Carrying Capacity (based on "&amp;Input!E4&amp;" acres, "&amp;Input!E12&amp;" lb animals for "&amp;Input!E15&amp;" days"</f>
        <v>Improved Pasture Carrying Capacity (based on 160 acres, 1350 lb animals for 135 days</v>
      </c>
      <c r="I1" s="340"/>
      <c r="J1" s="341"/>
      <c r="K1" s="339" t="str">
        <f>"Unimproved Pasture Carrying Capacity (based on "&amp;Input!H4&amp;" acres, "&amp;Input!H12&amp;" lb animals for "&amp;Input!H15&amp;" days"</f>
        <v>Unimproved Pasture Carrying Capacity (based on 160 acres, 1350 lb animals for 135 days</v>
      </c>
      <c r="L1" s="340"/>
      <c r="M1" s="341"/>
    </row>
    <row r="2" spans="1:20" ht="12.75" customHeight="1" x14ac:dyDescent="0.25">
      <c r="A2" s="282"/>
      <c r="B2" s="283"/>
      <c r="C2" s="283"/>
      <c r="D2" s="284"/>
      <c r="E2" s="342"/>
      <c r="F2" s="343"/>
      <c r="G2" s="344"/>
      <c r="H2" s="342"/>
      <c r="I2" s="343"/>
      <c r="J2" s="344"/>
      <c r="K2" s="342"/>
      <c r="L2" s="343"/>
      <c r="M2" s="344"/>
    </row>
    <row r="3" spans="1:20" ht="12.75" customHeight="1" x14ac:dyDescent="0.25">
      <c r="A3" s="282"/>
      <c r="B3" s="283"/>
      <c r="C3" s="283"/>
      <c r="D3" s="284"/>
      <c r="E3" s="342"/>
      <c r="F3" s="343"/>
      <c r="G3" s="344"/>
      <c r="H3" s="342"/>
      <c r="I3" s="343"/>
      <c r="J3" s="344"/>
      <c r="K3" s="342"/>
      <c r="L3" s="343"/>
      <c r="M3" s="344"/>
    </row>
    <row r="4" spans="1:20" ht="12.75" customHeight="1" x14ac:dyDescent="0.25">
      <c r="A4" s="282"/>
      <c r="B4" s="283"/>
      <c r="C4" s="283"/>
      <c r="D4" s="284"/>
      <c r="E4" s="342"/>
      <c r="F4" s="343"/>
      <c r="G4" s="344"/>
      <c r="H4" s="342"/>
      <c r="I4" s="343"/>
      <c r="J4" s="344"/>
      <c r="K4" s="342"/>
      <c r="L4" s="343"/>
      <c r="M4" s="344"/>
    </row>
    <row r="5" spans="1:20" ht="12.75" customHeight="1" x14ac:dyDescent="0.25">
      <c r="A5" s="282"/>
      <c r="B5" s="283"/>
      <c r="C5" s="283"/>
      <c r="D5" s="284"/>
      <c r="E5" s="342"/>
      <c r="F5" s="343"/>
      <c r="G5" s="344"/>
      <c r="H5" s="342"/>
      <c r="I5" s="343"/>
      <c r="J5" s="344"/>
      <c r="K5" s="342"/>
      <c r="L5" s="343"/>
      <c r="M5" s="344"/>
    </row>
    <row r="6" spans="1:20" ht="12.75" customHeight="1" x14ac:dyDescent="0.25">
      <c r="A6" s="282"/>
      <c r="B6" s="283"/>
      <c r="C6" s="283"/>
      <c r="D6" s="284"/>
      <c r="E6" s="342"/>
      <c r="F6" s="343"/>
      <c r="G6" s="344"/>
      <c r="H6" s="342"/>
      <c r="I6" s="343"/>
      <c r="J6" s="344"/>
      <c r="K6" s="342"/>
      <c r="L6" s="343"/>
      <c r="M6" s="344"/>
    </row>
    <row r="7" spans="1:20" ht="13.5" customHeight="1" thickBot="1" x14ac:dyDescent="0.3">
      <c r="A7" s="285"/>
      <c r="B7" s="286"/>
      <c r="C7" s="286"/>
      <c r="D7" s="287"/>
      <c r="E7" s="345"/>
      <c r="F7" s="346"/>
      <c r="G7" s="347"/>
      <c r="H7" s="345"/>
      <c r="I7" s="346"/>
      <c r="J7" s="347"/>
      <c r="K7" s="345"/>
      <c r="L7" s="346"/>
      <c r="M7" s="347"/>
    </row>
    <row r="8" spans="1:20" ht="16" thickBot="1" x14ac:dyDescent="0.4">
      <c r="A8" s="350" t="s">
        <v>29</v>
      </c>
      <c r="B8" s="351"/>
      <c r="C8" s="351"/>
      <c r="D8" s="352"/>
      <c r="E8" s="348" t="s">
        <v>50</v>
      </c>
      <c r="F8" s="310"/>
      <c r="G8" s="349"/>
      <c r="H8" s="348" t="s">
        <v>50</v>
      </c>
      <c r="I8" s="310"/>
      <c r="J8" s="349"/>
      <c r="K8" s="348" t="s">
        <v>50</v>
      </c>
      <c r="L8" s="310"/>
      <c r="M8" s="349"/>
    </row>
    <row r="9" spans="1:20" ht="16" thickBot="1" x14ac:dyDescent="0.4">
      <c r="A9" s="350"/>
      <c r="B9" s="351"/>
      <c r="C9" s="351"/>
      <c r="D9" s="352"/>
      <c r="E9" s="288" t="s">
        <v>47</v>
      </c>
      <c r="F9" s="288" t="s">
        <v>48</v>
      </c>
      <c r="G9" s="288" t="s">
        <v>49</v>
      </c>
      <c r="H9" s="288" t="s">
        <v>47</v>
      </c>
      <c r="I9" s="288" t="s">
        <v>48</v>
      </c>
      <c r="J9" s="288" t="s">
        <v>49</v>
      </c>
      <c r="K9" s="288" t="s">
        <v>47</v>
      </c>
      <c r="L9" s="288" t="s">
        <v>48</v>
      </c>
      <c r="M9" s="288" t="s">
        <v>49</v>
      </c>
    </row>
    <row r="10" spans="1:20" ht="16" thickBot="1" x14ac:dyDescent="0.4">
      <c r="A10" s="353"/>
      <c r="B10" s="351"/>
      <c r="C10" s="351"/>
      <c r="D10" s="352"/>
      <c r="E10" s="288">
        <v>2</v>
      </c>
      <c r="F10" s="288">
        <v>3</v>
      </c>
      <c r="G10" s="288">
        <v>4</v>
      </c>
      <c r="H10" s="288">
        <v>2</v>
      </c>
      <c r="I10" s="288">
        <v>3</v>
      </c>
      <c r="J10" s="288">
        <v>4</v>
      </c>
      <c r="K10" s="288">
        <v>2</v>
      </c>
      <c r="L10" s="288">
        <v>3</v>
      </c>
      <c r="M10" s="288">
        <v>4</v>
      </c>
      <c r="O10" s="154"/>
    </row>
    <row r="11" spans="1:20" ht="16" thickBot="1" x14ac:dyDescent="0.4">
      <c r="A11" s="350" t="s">
        <v>51</v>
      </c>
      <c r="B11" s="289" t="s">
        <v>52</v>
      </c>
      <c r="C11" s="290"/>
      <c r="D11" s="291">
        <v>1</v>
      </c>
      <c r="E11" s="292">
        <v>0.2</v>
      </c>
      <c r="F11" s="293">
        <v>0.4</v>
      </c>
      <c r="G11" s="292">
        <v>0.5</v>
      </c>
      <c r="H11" s="294" t="s">
        <v>219</v>
      </c>
      <c r="I11" s="294" t="s">
        <v>219</v>
      </c>
      <c r="J11" s="294" t="s">
        <v>219</v>
      </c>
      <c r="K11" s="294">
        <f>ROUNDDOWN((E11*Input!$H$4)/Input!$H$16/Input!$H$13,0)</f>
        <v>5</v>
      </c>
      <c r="L11" s="294">
        <f>ROUNDDOWN((F11*Input!$H$4)/Input!$H$16/Input!$H$13,0)</f>
        <v>11</v>
      </c>
      <c r="M11" s="294">
        <f>ROUNDDOWN((G11*Input!$H$4)/Input!$H$16/Input!$H$13,0)</f>
        <v>14</v>
      </c>
      <c r="R11" s="29"/>
      <c r="S11" s="29"/>
      <c r="T11" s="29"/>
    </row>
    <row r="12" spans="1:20" ht="16" thickBot="1" x14ac:dyDescent="0.4">
      <c r="A12" s="350"/>
      <c r="B12" s="289" t="s">
        <v>58</v>
      </c>
      <c r="C12" s="290"/>
      <c r="D12" s="295">
        <v>2</v>
      </c>
      <c r="E12" s="292">
        <v>0.4</v>
      </c>
      <c r="F12" s="293">
        <v>0.6</v>
      </c>
      <c r="G12" s="292">
        <v>0.8</v>
      </c>
      <c r="H12" s="294" t="s">
        <v>219</v>
      </c>
      <c r="I12" s="294" t="s">
        <v>219</v>
      </c>
      <c r="J12" s="294" t="s">
        <v>219</v>
      </c>
      <c r="K12" s="294">
        <f>ROUNDDOWN((E12*Input!$H$4)/Input!$H$16/Input!$H$13,0)</f>
        <v>11</v>
      </c>
      <c r="L12" s="294">
        <f>ROUNDDOWN((F12*Input!$H$4)/Input!$H$16/Input!$H$13,0)</f>
        <v>17</v>
      </c>
      <c r="M12" s="294">
        <f>ROUNDDOWN((G12*Input!$H$4)/Input!$H$16/Input!$H$13,0)</f>
        <v>22</v>
      </c>
      <c r="R12" s="29"/>
      <c r="S12" s="29"/>
      <c r="T12" s="29"/>
    </row>
    <row r="13" spans="1:20" ht="16" thickBot="1" x14ac:dyDescent="0.4">
      <c r="A13" s="350"/>
      <c r="B13" s="289" t="s">
        <v>59</v>
      </c>
      <c r="C13" s="290"/>
      <c r="D13" s="295">
        <v>3</v>
      </c>
      <c r="E13" s="292">
        <v>0.6</v>
      </c>
      <c r="F13" s="293">
        <v>0.8</v>
      </c>
      <c r="G13" s="292">
        <v>0.9</v>
      </c>
      <c r="H13" s="294" t="s">
        <v>219</v>
      </c>
      <c r="I13" s="294" t="s">
        <v>219</v>
      </c>
      <c r="J13" s="294" t="s">
        <v>219</v>
      </c>
      <c r="K13" s="294">
        <f>ROUNDDOWN((E13*Input!$H$4)/Input!$H$16/Input!$H$13,0)</f>
        <v>17</v>
      </c>
      <c r="L13" s="294">
        <f>(F13*Input!$H$4)/Input!$H$16/Input!$H$13</f>
        <v>22.755555555555553</v>
      </c>
      <c r="M13" s="294">
        <f>(G13*Input!$H$4)/Input!$H$16/Input!$H$13</f>
        <v>25.6</v>
      </c>
      <c r="R13" s="29"/>
      <c r="S13" s="29"/>
      <c r="T13" s="29"/>
    </row>
    <row r="14" spans="1:20" ht="16" thickBot="1" x14ac:dyDescent="0.4">
      <c r="A14" s="353"/>
      <c r="B14" s="289" t="s">
        <v>60</v>
      </c>
      <c r="C14" s="290"/>
      <c r="D14" s="291">
        <v>4</v>
      </c>
      <c r="E14" s="292">
        <v>0</v>
      </c>
      <c r="F14" s="293">
        <v>0</v>
      </c>
      <c r="G14" s="292">
        <v>0</v>
      </c>
      <c r="H14" s="294" t="s">
        <v>219</v>
      </c>
      <c r="I14" s="294" t="s">
        <v>219</v>
      </c>
      <c r="J14" s="294" t="s">
        <v>219</v>
      </c>
      <c r="K14" s="294">
        <f>ROUNDDOWN((E14*Input!$H$4)/Input!$H$16/Input!$H$13,0)</f>
        <v>0</v>
      </c>
      <c r="L14" s="294">
        <f>ROUNDDOWN((F14*Input!$H$4)/Input!$H$16/Input!$H$13,0)</f>
        <v>0</v>
      </c>
      <c r="M14" s="294">
        <f>ROUNDDOWN((G14*Input!$H$4)/Input!$H$16/Input!$H$13,0)</f>
        <v>0</v>
      </c>
      <c r="R14" s="29"/>
      <c r="S14" s="29"/>
      <c r="T14" s="29"/>
    </row>
    <row r="15" spans="1:20" ht="16" thickBot="1" x14ac:dyDescent="0.4">
      <c r="A15" s="336" t="s">
        <v>53</v>
      </c>
      <c r="B15" s="289" t="s">
        <v>61</v>
      </c>
      <c r="C15" s="290"/>
      <c r="D15" s="295">
        <v>5</v>
      </c>
      <c r="E15" s="292">
        <v>0.8</v>
      </c>
      <c r="F15" s="293">
        <v>1.2</v>
      </c>
      <c r="G15" s="292">
        <v>1</v>
      </c>
      <c r="H15" s="294" t="s">
        <v>219</v>
      </c>
      <c r="I15" s="294" t="s">
        <v>219</v>
      </c>
      <c r="J15" s="294" t="s">
        <v>219</v>
      </c>
      <c r="K15" s="294">
        <f>ROUNDDOWN((E15*Input!$H$4)/Input!$H$16/Input!$H$13,0)</f>
        <v>22</v>
      </c>
      <c r="L15" s="294">
        <f>ROUNDDOWN((F15*Input!$H$4)/Input!$H$16/Input!$H$13,0)</f>
        <v>34</v>
      </c>
      <c r="M15" s="294">
        <f>ROUNDDOWN((G15*Input!$H$4)/Input!$H$16/Input!$H$13,0)</f>
        <v>28</v>
      </c>
      <c r="R15" s="29"/>
      <c r="S15" s="29"/>
      <c r="T15" s="29"/>
    </row>
    <row r="16" spans="1:20" ht="16" thickBot="1" x14ac:dyDescent="0.4">
      <c r="A16" s="337"/>
      <c r="B16" s="289" t="s">
        <v>62</v>
      </c>
      <c r="C16" s="290"/>
      <c r="D16" s="295">
        <v>6</v>
      </c>
      <c r="E16" s="292">
        <v>1.2</v>
      </c>
      <c r="F16" s="293">
        <v>1.2</v>
      </c>
      <c r="G16" s="292">
        <v>1.4</v>
      </c>
      <c r="H16" s="294" t="s">
        <v>219</v>
      </c>
      <c r="I16" s="294" t="s">
        <v>219</v>
      </c>
      <c r="J16" s="294" t="s">
        <v>219</v>
      </c>
      <c r="K16" s="294">
        <f>ROUNDDOWN((E16*Input!$H$4)/Input!$H$16/Input!$H$13,0)</f>
        <v>34</v>
      </c>
      <c r="L16" s="294">
        <f>ROUNDDOWN((F16*Input!$H$4)/Input!$H$16/Input!$H$13,0)</f>
        <v>34</v>
      </c>
      <c r="M16" s="294">
        <f>ROUNDDOWN((G16*Input!$H$4)/Input!$H$16/Input!$H$13,0)</f>
        <v>39</v>
      </c>
      <c r="R16" s="29"/>
      <c r="S16" s="29"/>
      <c r="T16" s="29"/>
    </row>
    <row r="17" spans="1:20" ht="16" thickBot="1" x14ac:dyDescent="0.4">
      <c r="A17" s="338"/>
      <c r="B17" s="289" t="s">
        <v>57</v>
      </c>
      <c r="C17" s="290"/>
      <c r="D17" s="295">
        <v>7</v>
      </c>
      <c r="E17" s="292">
        <v>1.6</v>
      </c>
      <c r="F17" s="293">
        <v>1.8</v>
      </c>
      <c r="G17" s="292">
        <v>1.8</v>
      </c>
      <c r="H17" s="294" t="s">
        <v>219</v>
      </c>
      <c r="I17" s="294" t="s">
        <v>219</v>
      </c>
      <c r="J17" s="294" t="s">
        <v>219</v>
      </c>
      <c r="K17" s="294">
        <f>ROUNDDOWN((E17*Input!$H$4)/Input!$H$16/Input!$H$13,0)</f>
        <v>45</v>
      </c>
      <c r="L17" s="294">
        <f>ROUNDDOWN((F17*Input!$H$4)/Input!$H$16/Input!$H$13,0)</f>
        <v>51</v>
      </c>
      <c r="M17" s="294">
        <f>ROUNDDOWN((G17*Input!$H$4)/Input!$H$16/Input!$H$13,0)</f>
        <v>51</v>
      </c>
      <c r="R17" s="29"/>
      <c r="S17" s="29"/>
      <c r="T17" s="29"/>
    </row>
    <row r="18" spans="1:20" ht="16" thickBot="1" x14ac:dyDescent="0.4">
      <c r="A18" s="336" t="s">
        <v>54</v>
      </c>
      <c r="B18" s="289" t="s">
        <v>56</v>
      </c>
      <c r="C18" s="290"/>
      <c r="D18" s="291">
        <v>8</v>
      </c>
      <c r="E18" s="292">
        <v>0.5</v>
      </c>
      <c r="F18" s="293">
        <v>0.8</v>
      </c>
      <c r="G18" s="292">
        <v>1</v>
      </c>
      <c r="H18" s="294">
        <f>ROUNDDOWN((E18*Input!$E$4)/Input!$E$16/Input!$E$13,0)</f>
        <v>14</v>
      </c>
      <c r="I18" s="294">
        <f>ROUNDDOWN((F18*Input!$E$4)/Input!$E$16/Input!$E$13,0)</f>
        <v>22</v>
      </c>
      <c r="J18" s="294">
        <f>ROUNDDOWN((G18*Input!$E$4)/Input!$E$16/Input!$E$13,0)</f>
        <v>28</v>
      </c>
      <c r="K18" s="294" t="s">
        <v>219</v>
      </c>
      <c r="L18" s="294" t="s">
        <v>219</v>
      </c>
      <c r="M18" s="294" t="s">
        <v>219</v>
      </c>
      <c r="O18" s="29"/>
      <c r="P18" s="29"/>
      <c r="Q18" s="29"/>
    </row>
    <row r="19" spans="1:20" ht="16" thickBot="1" x14ac:dyDescent="0.4">
      <c r="A19" s="337"/>
      <c r="B19" s="289" t="s">
        <v>55</v>
      </c>
      <c r="C19" s="290"/>
      <c r="D19" s="295">
        <v>9</v>
      </c>
      <c r="E19" s="292">
        <v>1.4</v>
      </c>
      <c r="F19" s="293">
        <v>1.4</v>
      </c>
      <c r="G19" s="292">
        <v>1.6</v>
      </c>
      <c r="H19" s="294">
        <f>ROUNDDOWN((E19*Input!$E$4)/Input!$E$16/Input!$E$13,0)</f>
        <v>39</v>
      </c>
      <c r="I19" s="294">
        <f>ROUNDDOWN((F19*Input!$E$4)/Input!$E$16/Input!$E$13,0)</f>
        <v>39</v>
      </c>
      <c r="J19" s="294">
        <f>ROUNDDOWN((G19*Input!$E$4)/Input!$E$16/Input!$E$13,0)</f>
        <v>45</v>
      </c>
      <c r="K19" s="294" t="s">
        <v>219</v>
      </c>
      <c r="L19" s="294" t="s">
        <v>219</v>
      </c>
      <c r="M19" s="294" t="s">
        <v>219</v>
      </c>
      <c r="O19" s="29"/>
      <c r="P19" s="29"/>
      <c r="Q19" s="29"/>
    </row>
    <row r="20" spans="1:20" ht="16" thickBot="1" x14ac:dyDescent="0.4">
      <c r="A20" s="337"/>
      <c r="B20" s="289" t="s">
        <v>63</v>
      </c>
      <c r="C20" s="290"/>
      <c r="D20" s="295">
        <v>10</v>
      </c>
      <c r="E20" s="292">
        <v>2</v>
      </c>
      <c r="F20" s="293">
        <v>2.8</v>
      </c>
      <c r="G20" s="292">
        <v>3</v>
      </c>
      <c r="H20" s="294">
        <f>ROUNDDOWN((E20*Input!$E$4)/Input!$E$16/Input!$E$13,0)</f>
        <v>56</v>
      </c>
      <c r="I20" s="294">
        <f>ROUNDDOWN((F20*Input!$E$4)/Input!$E$16/Input!$E$13,0)</f>
        <v>79</v>
      </c>
      <c r="J20" s="294">
        <f>ROUNDDOWN((G20*Input!$E$4)/Input!$E$16/Input!$E$13,0)</f>
        <v>85</v>
      </c>
      <c r="K20" s="294" t="s">
        <v>219</v>
      </c>
      <c r="L20" s="294" t="s">
        <v>219</v>
      </c>
      <c r="M20" s="294" t="s">
        <v>219</v>
      </c>
      <c r="O20" s="29"/>
      <c r="P20" s="29"/>
      <c r="Q20" s="29"/>
    </row>
    <row r="21" spans="1:20" ht="16" thickBot="1" x14ac:dyDescent="0.4">
      <c r="A21" s="338"/>
      <c r="B21" s="289" t="s">
        <v>64</v>
      </c>
      <c r="C21" s="290"/>
      <c r="D21" s="291">
        <v>11</v>
      </c>
      <c r="E21" s="292">
        <v>3.5</v>
      </c>
      <c r="F21" s="293">
        <v>4</v>
      </c>
      <c r="G21" s="292">
        <v>5</v>
      </c>
      <c r="H21" s="294">
        <f>ROUNDDOWN((E21*Input!$E$4)/Input!$E$16/Input!$E$13,0)</f>
        <v>99</v>
      </c>
      <c r="I21" s="294">
        <f>ROUNDDOWN((F21*Input!$E$4)/Input!$E$16/Input!$E$13,0)</f>
        <v>113</v>
      </c>
      <c r="J21" s="294">
        <f>ROUNDDOWN((G21*Input!$E$4)/Input!$E$16/Input!$E$13,0)</f>
        <v>142</v>
      </c>
      <c r="K21" s="294" t="s">
        <v>219</v>
      </c>
      <c r="L21" s="294" t="s">
        <v>219</v>
      </c>
      <c r="M21" s="294" t="s">
        <v>219</v>
      </c>
      <c r="O21" s="29"/>
      <c r="P21" s="29"/>
      <c r="Q21" s="29"/>
    </row>
    <row r="22" spans="1:20" ht="16" thickBot="1" x14ac:dyDescent="0.4">
      <c r="A22" s="336" t="s">
        <v>65</v>
      </c>
      <c r="B22" s="289" t="s">
        <v>66</v>
      </c>
      <c r="C22" s="290"/>
      <c r="D22" s="295">
        <v>12</v>
      </c>
      <c r="E22" s="292">
        <v>0</v>
      </c>
      <c r="F22" s="293">
        <v>3</v>
      </c>
      <c r="G22" s="292">
        <v>3</v>
      </c>
      <c r="H22" s="294">
        <f>ROUNDDOWN((E22*Input!$E$4)/Input!$E$16/Input!$E$13,0)</f>
        <v>0</v>
      </c>
      <c r="I22" s="294">
        <f>ROUNDDOWN((F22*Input!$E$4)/Input!$E$16/Input!$E$13,0)</f>
        <v>85</v>
      </c>
      <c r="J22" s="294">
        <f>ROUNDDOWN((G22*Input!$E$4)/Input!$E$16/Input!$E$13,0)</f>
        <v>85</v>
      </c>
      <c r="K22" s="294" t="s">
        <v>219</v>
      </c>
      <c r="L22" s="294" t="s">
        <v>219</v>
      </c>
      <c r="M22" s="294" t="s">
        <v>219</v>
      </c>
      <c r="O22" s="29"/>
      <c r="P22" s="29"/>
      <c r="Q22" s="29"/>
    </row>
    <row r="23" spans="1:20" ht="16" thickBot="1" x14ac:dyDescent="0.4">
      <c r="A23" s="337"/>
      <c r="B23" s="289" t="s">
        <v>67</v>
      </c>
      <c r="C23" s="290"/>
      <c r="D23" s="295">
        <v>13</v>
      </c>
      <c r="E23" s="292">
        <v>0</v>
      </c>
      <c r="F23" s="293">
        <v>0.5</v>
      </c>
      <c r="G23" s="292">
        <v>0.5</v>
      </c>
      <c r="H23" s="294">
        <f>ROUNDDOWN((E23*Input!$E$4)/Input!$E$16/Input!$E$13,0)</f>
        <v>0</v>
      </c>
      <c r="I23" s="294">
        <f>ROUNDDOWN((F23*Input!$E$4)/Input!$E$16/Input!$E$13,0)</f>
        <v>14</v>
      </c>
      <c r="J23" s="294">
        <f>ROUNDDOWN((G23*Input!$E$4)/Input!$E$16/Input!$E$13,0)</f>
        <v>14</v>
      </c>
      <c r="K23" s="294" t="s">
        <v>219</v>
      </c>
      <c r="L23" s="294" t="s">
        <v>219</v>
      </c>
      <c r="M23" s="294" t="s">
        <v>219</v>
      </c>
      <c r="O23" s="29"/>
      <c r="P23" s="29"/>
      <c r="Q23" s="29"/>
    </row>
    <row r="24" spans="1:20" ht="16" thickBot="1" x14ac:dyDescent="0.4">
      <c r="A24" s="338"/>
      <c r="B24" s="289" t="s">
        <v>68</v>
      </c>
      <c r="C24" s="290"/>
      <c r="D24" s="295">
        <v>14</v>
      </c>
      <c r="E24" s="292">
        <v>0</v>
      </c>
      <c r="F24" s="293">
        <v>1.6</v>
      </c>
      <c r="G24" s="292">
        <v>1.6</v>
      </c>
      <c r="H24" s="294">
        <f>ROUNDDOWN((E24*Input!$E$4)/Input!$E$16/Input!$E$13,0)</f>
        <v>0</v>
      </c>
      <c r="I24" s="294">
        <f>ROUNDDOWN((F24*Input!$E$4)/Input!$E$16/Input!$E$13,0)</f>
        <v>45</v>
      </c>
      <c r="J24" s="294">
        <f>ROUNDDOWN((G24*Input!$E$4)/Input!$E$16/Input!$E$13,0)</f>
        <v>45</v>
      </c>
      <c r="K24" s="294" t="s">
        <v>219</v>
      </c>
      <c r="L24" s="294" t="s">
        <v>219</v>
      </c>
      <c r="M24" s="294" t="s">
        <v>219</v>
      </c>
      <c r="O24" s="29"/>
      <c r="P24" s="29"/>
      <c r="Q24" s="29"/>
    </row>
    <row r="25" spans="1:20" ht="15.5" x14ac:dyDescent="0.35">
      <c r="A25" s="129" t="s">
        <v>69</v>
      </c>
      <c r="B25" s="130"/>
      <c r="C25" s="130"/>
      <c r="D25" s="131"/>
      <c r="E25" s="130"/>
      <c r="F25" s="132"/>
      <c r="G25" s="133"/>
      <c r="H25" s="133"/>
      <c r="I25" s="133"/>
      <c r="J25" s="133"/>
      <c r="K25" s="133"/>
      <c r="L25" s="133"/>
      <c r="M25" s="134"/>
    </row>
    <row r="26" spans="1:20" ht="16.5" customHeight="1" thickBot="1" x14ac:dyDescent="0.35">
      <c r="A26" s="135" t="s">
        <v>220</v>
      </c>
      <c r="B26" s="127"/>
      <c r="C26" s="127"/>
      <c r="D26" s="127"/>
      <c r="E26" s="127"/>
      <c r="F26" s="127"/>
      <c r="G26" s="127"/>
      <c r="H26" s="136"/>
      <c r="I26" s="136"/>
      <c r="J26" s="136"/>
      <c r="K26" s="136"/>
      <c r="L26" s="136"/>
      <c r="M26" s="137"/>
    </row>
    <row r="27" spans="1:20" ht="12.75" customHeight="1" x14ac:dyDescent="0.25">
      <c r="A27" s="128"/>
      <c r="B27" s="128"/>
      <c r="C27" s="128"/>
      <c r="D27" s="128"/>
      <c r="E27" s="128"/>
      <c r="F27" s="128"/>
      <c r="G27" s="128"/>
    </row>
  </sheetData>
  <sheetProtection algorithmName="SHA-512" hashValue="hd1yR0IMjnuHywZaqXtX0rtwFgVdKpfZHTJ0HEYSPjhb54GoJqSX6AdQTCgZBmSO7U6Ap3zoB7zpdlo2P+Dtmg==" saltValue="aDCzMklc6Ikso+Ru9gk6MA==" spinCount="100000" sheet="1"/>
  <mergeCells count="11">
    <mergeCell ref="K1:M7"/>
    <mergeCell ref="K8:M8"/>
    <mergeCell ref="E8:G8"/>
    <mergeCell ref="A8:D10"/>
    <mergeCell ref="A11:A14"/>
    <mergeCell ref="A18:A21"/>
    <mergeCell ref="A22:A24"/>
    <mergeCell ref="E1:G7"/>
    <mergeCell ref="H8:J8"/>
    <mergeCell ref="H1:J7"/>
    <mergeCell ref="A15:A17"/>
  </mergeCells>
  <pageMargins left="0.70866141732283472" right="0.70866141732283472" top="0.74803149606299213" bottom="0.74803149606299213" header="0.31496062992125984" footer="0.31496062992125984"/>
  <pageSetup scale="70" firstPageNumber="10" orientation="portrait" useFirstPageNumber="1" r:id="rId1"/>
  <headerFooter scaleWithDoc="0">
    <oddHeader>&amp;LGuidelines: Pasture Production Costs&amp;R&amp;P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A72A769-07F8-420D-B87E-7F95A1D7976A}">
  <ds:schemaRefs>
    <ds:schemaRef ds:uri="http://schemas.microsoft.com/sharepoint/v3/contenttype/forms"/>
  </ds:schemaRefs>
</ds:datastoreItem>
</file>

<file path=customXml/itemProps2.xml><?xml version="1.0" encoding="utf-8"?>
<ds:datastoreItem xmlns:ds="http://schemas.openxmlformats.org/officeDocument/2006/customXml" ds:itemID="{2FFA598A-4AE8-46F7-85BC-92D5CADE338C}">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B20DAF27-135F-4F0F-B145-CF4B2807B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8F5567-0267-42DF-A3C9-954ED5EE096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Introduction</vt:lpstr>
      <vt:lpstr>Summary</vt:lpstr>
      <vt:lpstr>Risk</vt:lpstr>
      <vt:lpstr>Pasture Insurance</vt:lpstr>
      <vt:lpstr>Input</vt:lpstr>
      <vt:lpstr>Fixed Cost Input</vt:lpstr>
      <vt:lpstr>Assumptions</vt:lpstr>
      <vt:lpstr>Example</vt:lpstr>
      <vt:lpstr>AUM  Carrying Capcity Worksheet</vt:lpstr>
      <vt:lpstr>Pasture Ins Calc (HIDE)</vt:lpstr>
      <vt:lpstr>Chart (HIDE)</vt:lpstr>
      <vt:lpstr>Animal</vt:lpstr>
      <vt:lpstr>Bison</vt:lpstr>
      <vt:lpstr>Cows</vt:lpstr>
      <vt:lpstr>Deer</vt:lpstr>
      <vt:lpstr>Donkeys_and_Ponies</vt:lpstr>
      <vt:lpstr>Elk</vt:lpstr>
      <vt:lpstr>Goats</vt:lpstr>
      <vt:lpstr>Horses</vt:lpstr>
      <vt:lpstr>Llamas_and_Alpacas</vt:lpstr>
      <vt:lpstr>Assumptions!Print_Area</vt:lpstr>
      <vt:lpstr>Input!Print_Area</vt:lpstr>
      <vt:lpstr>Introduction!Print_Area</vt:lpstr>
      <vt:lpstr>'Pasture Ins Calc (HIDE)'!Print_Area</vt:lpstr>
      <vt:lpstr>'Pasture Insurance'!Print_Area</vt:lpstr>
      <vt:lpstr>Risk!Print_Area</vt:lpstr>
      <vt:lpstr>Summary!Print_Area</vt:lpstr>
      <vt:lpstr>Sheep</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Forage Pasture COP</dc:title>
  <dc:creator>Roy Arnott</dc:creator>
  <cp:lastModifiedBy>Mashinini, Khosi</cp:lastModifiedBy>
  <cp:lastPrinted>2023-04-26T16:50:55Z</cp:lastPrinted>
  <dcterms:created xsi:type="dcterms:W3CDTF">1999-05-11T14:54:42Z</dcterms:created>
  <dcterms:modified xsi:type="dcterms:W3CDTF">2025-04-25T16:51:49Z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ContentTypeId">
    <vt:lpwstr>0x01010007C3257931C4EB4CBE667AF33D71167E</vt:lpwstr>
  </property>
  <property fmtid="{D5CDD505-2E9C-101B-9397-08002B2CF9AE}" pid="6" name="_SourceUrl">
    <vt:lpwstr/>
  </property>
  <property fmtid="{D5CDD505-2E9C-101B-9397-08002B2CF9AE}" pid="7" name="_SharedFileIndex">
    <vt:lpwstr/>
  </property>
</Properties>
</file>