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trlProps/ctrlProp1.xml" ContentType="application/vnd.ms-excel.controlproperties+xml"/>
  <Override PartName="/xl/comments1.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P:\D03\Farm Management\Production Economics\COP Livestock\COP Beef\2024\FINAL\"/>
    </mc:Choice>
  </mc:AlternateContent>
  <workbookProtection workbookPassword="C6A6" lockStructure="1"/>
  <bookViews>
    <workbookView xWindow="0" yWindow="0" windowWidth="6740" windowHeight="5990"/>
  </bookViews>
  <sheets>
    <sheet name="Introduction" sheetId="4" r:id="rId1"/>
    <sheet name="Summary" sheetId="2" r:id="rId2"/>
    <sheet name="Risk Analysis" sheetId="7" r:id="rId3"/>
    <sheet name="Input" sheetId="1" r:id="rId4"/>
    <sheet name="Details" sheetId="3" r:id="rId5"/>
    <sheet name="Breakeven" sheetId="5" r:id="rId6"/>
    <sheet name="Feedlot" sheetId="6" r:id="rId7"/>
  </sheets>
  <definedNames>
    <definedName name="\A" localSheetId="2">#REF!</definedName>
    <definedName name="\A">#N/A</definedName>
    <definedName name="\B" localSheetId="2">#REF!</definedName>
    <definedName name="\B">#REF!</definedName>
    <definedName name="\C" localSheetId="2">#REF!</definedName>
    <definedName name="\C">#N/A</definedName>
    <definedName name="\D" localSheetId="2">#REF!</definedName>
    <definedName name="\D">#N/A</definedName>
    <definedName name="\E" localSheetId="2">#REF!</definedName>
    <definedName name="\E">#REF!</definedName>
    <definedName name="\F" localSheetId="2">#REF!</definedName>
    <definedName name="\F">#REF!</definedName>
    <definedName name="\H" localSheetId="2">#REF!</definedName>
    <definedName name="\H">#N/A</definedName>
    <definedName name="\I" localSheetId="2">#REF!</definedName>
    <definedName name="\I">#N/A</definedName>
    <definedName name="\K">#N/A</definedName>
    <definedName name="\L" localSheetId="2">#REF!</definedName>
    <definedName name="\L">#REF!</definedName>
    <definedName name="\N" localSheetId="2">#REF!</definedName>
    <definedName name="\N">#N/A</definedName>
    <definedName name="\O" localSheetId="2">#REF!</definedName>
    <definedName name="\O">#REF!</definedName>
    <definedName name="\P">#N/A</definedName>
    <definedName name="\R" localSheetId="2">#REF!</definedName>
    <definedName name="\R">#REF!</definedName>
    <definedName name="\S" localSheetId="2">#REF!</definedName>
    <definedName name="\S">#N/A</definedName>
    <definedName name="\T" localSheetId="2">#REF!</definedName>
    <definedName name="\T">#REF!</definedName>
    <definedName name="\U" localSheetId="2">#REF!</definedName>
    <definedName name="\U">#REF!</definedName>
    <definedName name="\W" localSheetId="2">#REF!</definedName>
    <definedName name="\W">#N/A</definedName>
    <definedName name="\X">#N/A</definedName>
    <definedName name="\Y" localSheetId="2">#REF!</definedName>
    <definedName name="\Y">#REF!</definedName>
    <definedName name="ALL">#N/A</definedName>
    <definedName name="_xlnm.Print_Area" localSheetId="5">Breakeven!$A$1:$K$89</definedName>
    <definedName name="_xlnm.Print_Area" localSheetId="4">Details!$A$1:$I$241</definedName>
    <definedName name="_xlnm.Print_Area" localSheetId="3">Input!$A$1:$H$137</definedName>
    <definedName name="_xlnm.Print_Area" localSheetId="0">Introduction!$B$1:$K$48</definedName>
    <definedName name="_xlnm.Print_Area" localSheetId="1">Summary!$A$1:$J$64</definedName>
  </definedNames>
  <calcPr calcId="162913"/>
</workbook>
</file>

<file path=xl/calcChain.xml><?xml version="1.0" encoding="utf-8"?>
<calcChain xmlns="http://schemas.openxmlformats.org/spreadsheetml/2006/main">
  <c r="D129" i="1" l="1"/>
  <c r="A129" i="1"/>
  <c r="C38" i="7"/>
  <c r="E112" i="3"/>
  <c r="E110" i="3"/>
  <c r="E106" i="3"/>
  <c r="E104" i="3"/>
  <c r="E103" i="3"/>
  <c r="E100" i="3"/>
  <c r="E98" i="3"/>
  <c r="E97" i="3"/>
  <c r="E99" i="3"/>
  <c r="E101" i="3" s="1"/>
  <c r="E96" i="3"/>
  <c r="E93" i="3"/>
  <c r="E82" i="1"/>
  <c r="C19" i="1"/>
  <c r="E39" i="7"/>
  <c r="D39" i="7" s="1"/>
  <c r="C12" i="7"/>
  <c r="C21" i="7" s="1"/>
  <c r="A45" i="7"/>
  <c r="A25" i="7"/>
  <c r="E124" i="3"/>
  <c r="E125" i="3"/>
  <c r="A1" i="2"/>
  <c r="E34" i="5"/>
  <c r="E57" i="5"/>
  <c r="E54" i="5"/>
  <c r="E53" i="5"/>
  <c r="E55" i="5" s="1"/>
  <c r="E16" i="5"/>
  <c r="H54" i="2"/>
  <c r="A2" i="2"/>
  <c r="H47" i="2"/>
  <c r="A42" i="2"/>
  <c r="F47" i="2"/>
  <c r="E16" i="3"/>
  <c r="E18" i="3"/>
  <c r="E19" i="3" s="1"/>
  <c r="F7" i="2" s="1"/>
  <c r="E25" i="3"/>
  <c r="E26" i="3" s="1"/>
  <c r="F8" i="2" s="1"/>
  <c r="H8" i="2" s="1"/>
  <c r="E23" i="3"/>
  <c r="E29" i="3"/>
  <c r="E30" i="3"/>
  <c r="E32" i="3"/>
  <c r="E33" i="3" s="1"/>
  <c r="F9" i="2" s="1"/>
  <c r="H9" i="2" s="1"/>
  <c r="E37" i="3"/>
  <c r="E39" i="3"/>
  <c r="E40" i="3" s="1"/>
  <c r="F10" i="2" s="1"/>
  <c r="H10" i="2" s="1"/>
  <c r="E46" i="3"/>
  <c r="E47" i="3"/>
  <c r="E49" i="3"/>
  <c r="E50" i="3"/>
  <c r="E54" i="3"/>
  <c r="E55" i="3"/>
  <c r="E57" i="3" s="1"/>
  <c r="E62" i="3"/>
  <c r="E63" i="3"/>
  <c r="E64" i="3" s="1"/>
  <c r="F14" i="2" s="1"/>
  <c r="H14" i="2" s="1"/>
  <c r="E83" i="3"/>
  <c r="E84" i="3"/>
  <c r="E85" i="3"/>
  <c r="E86" i="3"/>
  <c r="E77" i="3"/>
  <c r="E78" i="3"/>
  <c r="E79" i="3"/>
  <c r="E68" i="3"/>
  <c r="E74" i="3" s="1"/>
  <c r="E69" i="3"/>
  <c r="E70" i="3"/>
  <c r="E71" i="3"/>
  <c r="E72" i="3"/>
  <c r="E73" i="3"/>
  <c r="E119" i="3"/>
  <c r="E123" i="3"/>
  <c r="E126" i="3"/>
  <c r="E128" i="3"/>
  <c r="E129" i="3"/>
  <c r="E131" i="3" s="1"/>
  <c r="E133" i="3" s="1"/>
  <c r="F18" i="2" s="1"/>
  <c r="E148" i="3"/>
  <c r="E149" i="3"/>
  <c r="E142" i="3"/>
  <c r="E146" i="3" s="1"/>
  <c r="E143" i="3"/>
  <c r="E145" i="3"/>
  <c r="E137" i="3"/>
  <c r="E139" i="3"/>
  <c r="E155" i="3"/>
  <c r="E157" i="3" s="1"/>
  <c r="F20" i="2" s="1"/>
  <c r="H20" i="2" s="1"/>
  <c r="E156" i="3"/>
  <c r="E160" i="3"/>
  <c r="E161" i="3"/>
  <c r="E169" i="3"/>
  <c r="E175" i="3"/>
  <c r="E209" i="3"/>
  <c r="E210" i="3"/>
  <c r="E214" i="3"/>
  <c r="E215" i="3" s="1"/>
  <c r="E216" i="3"/>
  <c r="E217" i="3"/>
  <c r="E226" i="3"/>
  <c r="E228" i="3" s="1"/>
  <c r="F31" i="2" s="1"/>
  <c r="E227" i="3"/>
  <c r="E234" i="3"/>
  <c r="E235" i="3"/>
  <c r="E38" i="5"/>
  <c r="E30" i="5"/>
  <c r="E239" i="3"/>
  <c r="E240" i="3"/>
  <c r="E241" i="3" s="1"/>
  <c r="F36" i="2" s="1"/>
  <c r="E91" i="1"/>
  <c r="E130" i="3"/>
  <c r="D24" i="1"/>
  <c r="E81" i="1"/>
  <c r="E83" i="1" s="1"/>
  <c r="E118" i="3" s="1"/>
  <c r="E120" i="3" s="1"/>
  <c r="F17" i="2" s="1"/>
  <c r="H17" i="2" s="1"/>
  <c r="G32" i="1"/>
  <c r="D126" i="1"/>
  <c r="E207" i="3"/>
  <c r="E223" i="3"/>
  <c r="E71" i="5"/>
  <c r="E64" i="5"/>
  <c r="E50" i="5"/>
  <c r="E67" i="5"/>
  <c r="E68" i="5"/>
  <c r="E69" i="5" s="1"/>
  <c r="E60" i="5"/>
  <c r="E61" i="5"/>
  <c r="E62" i="5" s="1"/>
  <c r="E47" i="5"/>
  <c r="E46" i="5"/>
  <c r="E42" i="5"/>
  <c r="E26" i="5"/>
  <c r="E21" i="5"/>
  <c r="E11" i="5"/>
  <c r="E6" i="5"/>
  <c r="G196" i="3"/>
  <c r="G200" i="3"/>
  <c r="G197" i="3"/>
  <c r="B7" i="3"/>
  <c r="B6" i="3"/>
  <c r="B9" i="3"/>
  <c r="B5" i="3"/>
  <c r="G185" i="3"/>
  <c r="G186" i="3"/>
  <c r="G187" i="3"/>
  <c r="G188" i="3"/>
  <c r="G189" i="3"/>
  <c r="G190" i="3"/>
  <c r="G191" i="3"/>
  <c r="G192" i="3"/>
  <c r="G184" i="3"/>
  <c r="A7" i="4"/>
  <c r="A8" i="4"/>
  <c r="E176" i="3"/>
  <c r="E15" i="3"/>
  <c r="E109" i="3"/>
  <c r="E105" i="3"/>
  <c r="E107" i="3" s="1"/>
  <c r="E111" i="3"/>
  <c r="E113" i="3"/>
  <c r="G198" i="3"/>
  <c r="G31" i="1"/>
  <c r="G34" i="1"/>
  <c r="E36" i="3"/>
  <c r="B8" i="3"/>
  <c r="E22" i="3"/>
  <c r="G193" i="3"/>
  <c r="E208" i="3"/>
  <c r="E224" i="3"/>
  <c r="D132" i="1"/>
  <c r="E136" i="3" s="1"/>
  <c r="E140" i="3" s="1"/>
  <c r="E80" i="3"/>
  <c r="E52" i="3"/>
  <c r="E150" i="3"/>
  <c r="E87" i="3"/>
  <c r="E162" i="3"/>
  <c r="F21" i="2"/>
  <c r="H21" i="2"/>
  <c r="E211" i="3"/>
  <c r="F28" i="2"/>
  <c r="H28" i="2"/>
  <c r="E89" i="3" l="1"/>
  <c r="F15" i="2" s="1"/>
  <c r="H15" i="2" s="1"/>
  <c r="C39" i="7"/>
  <c r="E152" i="3"/>
  <c r="F19" i="2" s="1"/>
  <c r="H19" i="2" s="1"/>
  <c r="E232" i="3"/>
  <c r="E218" i="3"/>
  <c r="F29" i="2" s="1"/>
  <c r="H29" i="2" s="1"/>
  <c r="E115" i="3"/>
  <c r="F16" i="2" s="1"/>
  <c r="H16" i="2" s="1"/>
  <c r="E231" i="3"/>
  <c r="E236" i="3" s="1"/>
  <c r="F32" i="2" s="1"/>
  <c r="H32" i="2" s="1"/>
  <c r="H31" i="2"/>
  <c r="E167" i="3"/>
  <c r="H18" i="2"/>
  <c r="H7" i="2"/>
  <c r="H11" i="2" s="1"/>
  <c r="F11" i="2"/>
  <c r="G39" i="7"/>
  <c r="F39" i="7"/>
  <c r="C28" i="7"/>
  <c r="E59" i="3"/>
  <c r="E25" i="5"/>
  <c r="E20" i="5"/>
  <c r="E15" i="5"/>
  <c r="E10" i="5"/>
  <c r="H36" i="2"/>
  <c r="C8" i="7"/>
  <c r="E48" i="5"/>
  <c r="F42" i="2" s="1"/>
  <c r="F33" i="2" l="1"/>
  <c r="C7" i="7" s="1"/>
  <c r="E174" i="3"/>
  <c r="E178" i="3" s="1"/>
  <c r="F24" i="2" s="1"/>
  <c r="H24" i="2" s="1"/>
  <c r="H33" i="2"/>
  <c r="E5" i="5"/>
  <c r="E7" i="5" s="1"/>
  <c r="F55" i="2" s="1"/>
  <c r="C3" i="7"/>
  <c r="C22" i="7" s="1"/>
  <c r="A75" i="5"/>
  <c r="F13" i="2"/>
  <c r="E165" i="3"/>
  <c r="E173" i="3"/>
  <c r="H42" i="2"/>
  <c r="C4" i="7" l="1"/>
  <c r="C23" i="7" s="1"/>
  <c r="H13" i="2"/>
  <c r="E166" i="3"/>
  <c r="E170" i="3" s="1"/>
  <c r="F22" i="2" s="1"/>
  <c r="H22" i="2" s="1"/>
  <c r="H23" i="2" l="1"/>
  <c r="H25" i="2" s="1"/>
  <c r="H34" i="2" s="1"/>
  <c r="H37" i="2" s="1"/>
  <c r="F23" i="2"/>
  <c r="F25" i="2" s="1"/>
  <c r="F41" i="7" s="1"/>
  <c r="F43" i="7" l="1"/>
  <c r="C41" i="7"/>
  <c r="E43" i="7"/>
  <c r="D43" i="7"/>
  <c r="F42" i="7"/>
  <c r="E14" i="5"/>
  <c r="E17" i="5" s="1"/>
  <c r="F57" i="2" s="1"/>
  <c r="C42" i="7"/>
  <c r="H57" i="2"/>
  <c r="E33" i="5"/>
  <c r="E35" i="5" s="1"/>
  <c r="H49" i="2" s="1"/>
  <c r="C5" i="7"/>
  <c r="C26" i="7" s="1"/>
  <c r="C27" i="7" s="1"/>
  <c r="C32" i="7" s="1"/>
  <c r="E41" i="7"/>
  <c r="E29" i="5"/>
  <c r="E31" i="5" s="1"/>
  <c r="H48" i="2" s="1"/>
  <c r="E42" i="7"/>
  <c r="H56" i="2"/>
  <c r="F34" i="2"/>
  <c r="E37" i="5" s="1"/>
  <c r="E39" i="5" s="1"/>
  <c r="H50" i="2" s="1"/>
  <c r="E56" i="5"/>
  <c r="E58" i="5" s="1"/>
  <c r="F49" i="2" s="1"/>
  <c r="G41" i="7"/>
  <c r="E9" i="5"/>
  <c r="E12" i="5" s="1"/>
  <c r="F56" i="2" s="1"/>
  <c r="C43" i="7"/>
  <c r="D41" i="7"/>
  <c r="G43" i="7"/>
  <c r="E49" i="5"/>
  <c r="E51" i="5" s="1"/>
  <c r="F48" i="2" s="1"/>
  <c r="F62" i="2"/>
  <c r="G42" i="7"/>
  <c r="D42" i="7"/>
  <c r="C31" i="7" l="1"/>
  <c r="A78" i="5"/>
  <c r="C6" i="7"/>
  <c r="C9" i="7" s="1"/>
  <c r="C30" i="7"/>
  <c r="H58" i="2"/>
  <c r="F37" i="2"/>
  <c r="E19" i="5"/>
  <c r="E22" i="5" s="1"/>
  <c r="F58" i="2" s="1"/>
  <c r="C34" i="7"/>
  <c r="E63" i="5"/>
  <c r="E65" i="5" s="1"/>
  <c r="F50" i="2" s="1"/>
  <c r="E70" i="5" l="1"/>
  <c r="E72" i="5" s="1"/>
  <c r="F51" i="2" s="1"/>
  <c r="A46" i="7"/>
  <c r="E24" i="5"/>
  <c r="E27" i="5" s="1"/>
  <c r="F59" i="2" s="1"/>
  <c r="H59" i="2"/>
  <c r="F61" i="2"/>
  <c r="A76" i="5" s="1"/>
  <c r="E41" i="5"/>
  <c r="E43" i="5" s="1"/>
  <c r="H51" i="2" s="1"/>
</calcChain>
</file>

<file path=xl/comments1.xml><?xml version="1.0" encoding="utf-8"?>
<comments xmlns="http://schemas.openxmlformats.org/spreadsheetml/2006/main">
  <authors>
    <author>PBlawat</author>
    <author>rpieper</author>
  </authors>
  <commentList>
    <comment ref="B31" authorId="0" shapeId="0">
      <text>
        <r>
          <rPr>
            <b/>
            <sz val="8"/>
            <color indexed="81"/>
            <rFont val="Tahoma"/>
            <family val="2"/>
          </rPr>
          <t>Includes processing $.25/bu. or 1/2 cent per lb</t>
        </r>
        <r>
          <rPr>
            <sz val="8"/>
            <color indexed="81"/>
            <rFont val="Tahoma"/>
            <family val="2"/>
          </rPr>
          <t xml:space="preserve">
</t>
        </r>
      </text>
    </comment>
    <comment ref="B32" authorId="1" shapeId="0">
      <text>
        <r>
          <rPr>
            <b/>
            <sz val="8"/>
            <color indexed="81"/>
            <rFont val="Tahoma"/>
            <family val="2"/>
          </rPr>
          <t xml:space="preserve">User Tip:
</t>
        </r>
        <r>
          <rPr>
            <sz val="8"/>
            <color indexed="81"/>
            <rFont val="Tahoma"/>
            <family val="2"/>
          </rPr>
          <t>Barley Silage price may be estimated at 12
times the bushel price of barley.</t>
        </r>
      </text>
    </comment>
    <comment ref="E102" authorId="0" shapeId="0">
      <text>
        <r>
          <rPr>
            <b/>
            <sz val="8"/>
            <color indexed="81"/>
            <rFont val="Tahoma"/>
            <family val="2"/>
          </rPr>
          <t>Pblawat 2008: Rate varies from $.33 to $.37 per $100 of coverage for fire only. Extended coverage varies from $.48 to $.52.</t>
        </r>
        <r>
          <rPr>
            <sz val="8"/>
            <color indexed="81"/>
            <rFont val="Tahoma"/>
            <family val="2"/>
          </rPr>
          <t xml:space="preserve">
</t>
        </r>
      </text>
    </comment>
    <comment ref="E103" authorId="0" shapeId="0">
      <text>
        <r>
          <rPr>
            <b/>
            <sz val="8"/>
            <color indexed="81"/>
            <rFont val="Tahoma"/>
            <family val="2"/>
          </rPr>
          <t>Pblawat 2008: Liability $49 for $1 million coverage.</t>
        </r>
        <r>
          <rPr>
            <sz val="8"/>
            <color indexed="81"/>
            <rFont val="Tahoma"/>
            <family val="2"/>
          </rPr>
          <t xml:space="preserve">
</t>
        </r>
      </text>
    </comment>
  </commentList>
</comments>
</file>

<file path=xl/sharedStrings.xml><?xml version="1.0" encoding="utf-8"?>
<sst xmlns="http://schemas.openxmlformats.org/spreadsheetml/2006/main" count="787" uniqueCount="361">
  <si>
    <t/>
  </si>
  <si>
    <t xml:space="preserve">   3.  All feed is purchased.</t>
  </si>
  <si>
    <t>Number of Feeders Purchased</t>
  </si>
  <si>
    <t xml:space="preserve">  head</t>
  </si>
  <si>
    <t xml:space="preserve">  %</t>
  </si>
  <si>
    <t xml:space="preserve">  lbs</t>
  </si>
  <si>
    <t xml:space="preserve">  lbs/day</t>
  </si>
  <si>
    <t>-</t>
  </si>
  <si>
    <t>Days On Feed</t>
  </si>
  <si>
    <t xml:space="preserve">  days</t>
  </si>
  <si>
    <t xml:space="preserve">    Feeder Cattle</t>
  </si>
  <si>
    <t>(lbs/day )</t>
  </si>
  <si>
    <t>Other Feed #2</t>
  </si>
  <si>
    <t xml:space="preserve">     Vitamin A-D</t>
  </si>
  <si>
    <t xml:space="preserve">     External &amp; Internal Parasites</t>
  </si>
  <si>
    <t xml:space="preserve">     Growth Implants</t>
  </si>
  <si>
    <t xml:space="preserve">     Antibiotics</t>
  </si>
  <si>
    <t xml:space="preserve">       Total Yearly Hours</t>
  </si>
  <si>
    <t xml:space="preserve">       Charge per Hour</t>
  </si>
  <si>
    <t xml:space="preserve">       Total Kilometres (round trip)</t>
  </si>
  <si>
    <t xml:space="preserve">       Charge per km</t>
  </si>
  <si>
    <t xml:space="preserve">       Number of Yearly Visits</t>
  </si>
  <si>
    <t xml:space="preserve">     Number of head per load</t>
  </si>
  <si>
    <t xml:space="preserve">     Annual Cost for Removal</t>
  </si>
  <si>
    <t xml:space="preserve">     Cost per $100 Capital Invested in:</t>
  </si>
  <si>
    <t xml:space="preserve">     Additional Coverage for Liability</t>
  </si>
  <si>
    <t xml:space="preserve">     Total yearly expense relating to barn</t>
  </si>
  <si>
    <t xml:space="preserve">  Buildings,Corrals &amp; Water System</t>
  </si>
  <si>
    <t xml:space="preserve">     Windbreak fence</t>
  </si>
  <si>
    <t xml:space="preserve">     Pens</t>
  </si>
  <si>
    <t xml:space="preserve">     Shelters</t>
  </si>
  <si>
    <t xml:space="preserve">     Handling Facilities</t>
  </si>
  <si>
    <t xml:space="preserve">     Waterers</t>
  </si>
  <si>
    <t xml:space="preserve">     Gates</t>
  </si>
  <si>
    <t xml:space="preserve">     Bunk Feeders</t>
  </si>
  <si>
    <t xml:space="preserve">     Well &amp; Pressure System</t>
  </si>
  <si>
    <t xml:space="preserve">     Grain Bin</t>
  </si>
  <si>
    <t xml:space="preserve">     Landscaping</t>
  </si>
  <si>
    <t xml:space="preserve">  Machinery &amp; Equipment</t>
  </si>
  <si>
    <t xml:space="preserve">     Tractor &amp; Loader</t>
  </si>
  <si>
    <t xml:space="preserve">     Miscellaneous</t>
  </si>
  <si>
    <t xml:space="preserve">  Total Investment</t>
  </si>
  <si>
    <t>Cost/Head</t>
  </si>
  <si>
    <t>Total Cost</t>
  </si>
  <si>
    <t xml:space="preserve">    1.01  Rolled Barley</t>
  </si>
  <si>
    <t xml:space="preserve">    1.02  Barley Silage</t>
  </si>
  <si>
    <t xml:space="preserve">    Total Feed Costs</t>
  </si>
  <si>
    <t xml:space="preserve">    2.01  Feeder Cost</t>
  </si>
  <si>
    <t xml:space="preserve">    2.02  Straw</t>
  </si>
  <si>
    <t xml:space="preserve">    2.03  Veterinary Medicine &amp; Supplies</t>
  </si>
  <si>
    <t xml:space="preserve">    2.04  Annual Fuel &amp; Repair Costs</t>
  </si>
  <si>
    <t xml:space="preserve">    2.05  Utilities</t>
  </si>
  <si>
    <t xml:space="preserve">    2.06  Marketing &amp; Transportation</t>
  </si>
  <si>
    <t xml:space="preserve">    2.07  Insurance</t>
  </si>
  <si>
    <t xml:space="preserve">    2.08  Manure Removal</t>
  </si>
  <si>
    <t xml:space="preserve">    2.09  Barn &amp; Office Supplies</t>
  </si>
  <si>
    <t xml:space="preserve">    2.10  Death Loss</t>
  </si>
  <si>
    <t xml:space="preserve">    2.11  Operating Interest</t>
  </si>
  <si>
    <t>3.  Depreciation</t>
  </si>
  <si>
    <t xml:space="preserve">    3.01  Buildings</t>
  </si>
  <si>
    <t xml:space="preserve">    3.02  Machinery &amp; Equipment</t>
  </si>
  <si>
    <t>4.  Investment</t>
  </si>
  <si>
    <t xml:space="preserve">    4.01  Buildings</t>
  </si>
  <si>
    <t xml:space="preserve">    4.02  Machinery &amp; Equipment</t>
  </si>
  <si>
    <t>TOTAL COST OF PRODUCTION</t>
  </si>
  <si>
    <t>Operating &amp; Fixed</t>
  </si>
  <si>
    <t>Feed Costs</t>
  </si>
  <si>
    <t>feed cost</t>
  </si>
  <si>
    <t>÷</t>
  </si>
  <si>
    <t>=</t>
  </si>
  <si>
    <t>/lb</t>
  </si>
  <si>
    <t>Operating Costs</t>
  </si>
  <si>
    <t>operating costs</t>
  </si>
  <si>
    <t>feeder cost</t>
  </si>
  <si>
    <t>Total Operating &amp; Fixed</t>
  </si>
  <si>
    <t>operating &amp; fixed</t>
  </si>
  <si>
    <t>Total</t>
  </si>
  <si>
    <t>total</t>
  </si>
  <si>
    <t>x</t>
  </si>
  <si>
    <t>lbs/feeder/day</t>
  </si>
  <si>
    <t>/bu</t>
  </si>
  <si>
    <t>/feeder</t>
  </si>
  <si>
    <t>days on silage</t>
  </si>
  <si>
    <t>/ton</t>
  </si>
  <si>
    <t>days on hay</t>
  </si>
  <si>
    <t>days on supplement</t>
  </si>
  <si>
    <t xml:space="preserve">    2.01  Feeder Cattle Cost</t>
  </si>
  <si>
    <t>Trucking-in</t>
  </si>
  <si>
    <t>lbs/feeder</t>
  </si>
  <si>
    <t>lbs/cwt</t>
  </si>
  <si>
    <t xml:space="preserve">    2.02 Straw</t>
  </si>
  <si>
    <t xml:space="preserve">    2.03 Veterinary Medicine &amp; Supplies</t>
  </si>
  <si>
    <t>Cattle Medication</t>
  </si>
  <si>
    <t>+</t>
  </si>
  <si>
    <t>/hour charge</t>
  </si>
  <si>
    <t>hours</t>
  </si>
  <si>
    <t>feeder cattle</t>
  </si>
  <si>
    <t>/km charge</t>
  </si>
  <si>
    <t>kilometres</t>
  </si>
  <si>
    <t>visits</t>
  </si>
  <si>
    <t>miles</t>
  </si>
  <si>
    <t>head/load</t>
  </si>
  <si>
    <t>/feeder/year</t>
  </si>
  <si>
    <t xml:space="preserve">/feeder </t>
  </si>
  <si>
    <t>total barn expenses</t>
  </si>
  <si>
    <t>feeder cattle cost</t>
  </si>
  <si>
    <t>maximum value</t>
  </si>
  <si>
    <t>average value</t>
  </si>
  <si>
    <t>½ of feed &amp; other costs</t>
  </si>
  <si>
    <t>days on feed</t>
  </si>
  <si>
    <t>365 days</t>
  </si>
  <si>
    <t>salvage value</t>
  </si>
  <si>
    <t>years useful life</t>
  </si>
  <si>
    <t>hours/feeder/year</t>
  </si>
  <si>
    <t>/hour</t>
  </si>
  <si>
    <t>(lbs/year)</t>
  </si>
  <si>
    <t>Feedlot Finishing Production Costs - Input</t>
  </si>
  <si>
    <t xml:space="preserve">   Assumptions</t>
  </si>
  <si>
    <t>FOOTNOTE:  1 kilogram (kg) = 2.2046 pounds (lbs)</t>
  </si>
  <si>
    <r>
      <t xml:space="preserve">    </t>
    </r>
    <r>
      <rPr>
        <b/>
        <u/>
        <sz val="12"/>
        <rFont val="Arial"/>
        <family val="2"/>
      </rPr>
      <t>Requirement</t>
    </r>
  </si>
  <si>
    <t>FOOTNOTE:  1 bushel (bu) barley = 48 lbs = 21.8 kg</t>
  </si>
  <si>
    <t xml:space="preserve">                        1 kilogram (kg) = 2.2046 pounds (lbs)</t>
  </si>
  <si>
    <t xml:space="preserve">                        1 tonne (t) = 1,000 kg</t>
  </si>
  <si>
    <t xml:space="preserve">  Straw</t>
  </si>
  <si>
    <t xml:space="preserve">  Veterinary Medicine &amp; Supplies</t>
  </si>
  <si>
    <t xml:space="preserve">   Cattle Medication</t>
  </si>
  <si>
    <t xml:space="preserve">   Herd health program</t>
  </si>
  <si>
    <t xml:space="preserve">     Professional Services</t>
  </si>
  <si>
    <t xml:space="preserve">     Transportation</t>
  </si>
  <si>
    <t xml:space="preserve">   Annual Fuel &amp; Repair Costs</t>
  </si>
  <si>
    <t xml:space="preserve">  Utilities</t>
  </si>
  <si>
    <t xml:space="preserve">  Trucking Cost</t>
  </si>
  <si>
    <t xml:space="preserve">  Manure Removal</t>
  </si>
  <si>
    <t xml:space="preserve">  Insurance</t>
  </si>
  <si>
    <t xml:space="preserve">  Barn &amp; Office Supplies</t>
  </si>
  <si>
    <t>FOOTNOTE:  cwt = hundred-weight = 100 lbs</t>
  </si>
  <si>
    <t>Original</t>
  </si>
  <si>
    <t>Value</t>
  </si>
  <si>
    <t>Salvage</t>
  </si>
  <si>
    <t>Useful</t>
  </si>
  <si>
    <t>Life</t>
  </si>
  <si>
    <t xml:space="preserve">     Total</t>
  </si>
  <si>
    <t>Your Cost</t>
  </si>
  <si>
    <t>A.  Operating Costs</t>
  </si>
  <si>
    <t>1.  Feed Costs</t>
  </si>
  <si>
    <t>2.  Other Operating Costs</t>
  </si>
  <si>
    <t xml:space="preserve">    Subtotal Operating Costs</t>
  </si>
  <si>
    <t xml:space="preserve">    Total Operating Costs</t>
  </si>
  <si>
    <t>B.  Fixed Costs</t>
  </si>
  <si>
    <t xml:space="preserve">    Total Fixed Costs</t>
  </si>
  <si>
    <t>Total Operating and Fixed Costs</t>
  </si>
  <si>
    <t>Feedlot Finishing Production Cost Worksheet</t>
  </si>
  <si>
    <t xml:space="preserve">  Transportation Costs</t>
  </si>
  <si>
    <t xml:space="preserve">  Professional Services</t>
  </si>
  <si>
    <t xml:space="preserve">Days on </t>
  </si>
  <si>
    <t>Feed</t>
  </si>
  <si>
    <t>Your Farm</t>
  </si>
  <si>
    <t>Breakeven Calculations</t>
  </si>
  <si>
    <t>Total Costs</t>
  </si>
  <si>
    <t>total costs</t>
  </si>
  <si>
    <t>Cost per lb of gain sold</t>
  </si>
  <si>
    <t>Breakeven selling price</t>
  </si>
  <si>
    <t xml:space="preserve">     Operating Costs</t>
  </si>
  <si>
    <t xml:space="preserve">     Operating &amp; Fixed Costs</t>
  </si>
  <si>
    <t xml:space="preserve">     Total Costs</t>
  </si>
  <si>
    <t>$/unit</t>
  </si>
  <si>
    <t>/$100 capital</t>
  </si>
  <si>
    <t>liability premium</t>
  </si>
  <si>
    <t>Capital Costs</t>
  </si>
  <si>
    <t>Original Cost - Salvage Value</t>
  </si>
  <si>
    <t>Useful Life</t>
  </si>
  <si>
    <t>2</t>
  </si>
  <si>
    <t>average</t>
  </si>
  <si>
    <t>original cost</t>
  </si>
  <si>
    <t>Assumptions</t>
  </si>
  <si>
    <t>Beef Finishing Feedlot 500 Head</t>
  </si>
  <si>
    <t xml:space="preserve">    1.04  Supplement</t>
  </si>
  <si>
    <t xml:space="preserve">    1.04 Supplement (Salt, Vitamins, Minerals, Ionophore)</t>
  </si>
  <si>
    <t>lbs shrunk weight</t>
  </si>
  <si>
    <t xml:space="preserve">   1.  This budget outlines the cost of production for a cattle feeder's operation.</t>
  </si>
  <si>
    <t xml:space="preserve">   2.  Buildings and equipment are valued at new cost.</t>
  </si>
  <si>
    <t>Herd Profile</t>
  </si>
  <si>
    <t>Feeder Cattle Mortality Rate</t>
  </si>
  <si>
    <t>Feeder Purchased Weight</t>
  </si>
  <si>
    <t>Feeder Cattle Price</t>
  </si>
  <si>
    <t>Finish Weight</t>
  </si>
  <si>
    <t>Finish Selling Price</t>
  </si>
  <si>
    <t>Percent Shrink - finished</t>
  </si>
  <si>
    <t>Percent Shrink - feeder</t>
  </si>
  <si>
    <t>Average Daily Gain</t>
  </si>
  <si>
    <t>Rolled Barley</t>
  </si>
  <si>
    <t>Barley Silage</t>
  </si>
  <si>
    <t>Other Operating Costs</t>
  </si>
  <si>
    <t xml:space="preserve">     Tons/feeder</t>
  </si>
  <si>
    <t xml:space="preserve">     Cost</t>
  </si>
  <si>
    <t xml:space="preserve">     Distance</t>
  </si>
  <si>
    <t xml:space="preserve">     Rate</t>
  </si>
  <si>
    <t xml:space="preserve">       a) Livestock</t>
  </si>
  <si>
    <t xml:space="preserve">       b) Building &amp; Equipment</t>
  </si>
  <si>
    <t xml:space="preserve">  Operating Interest Rate</t>
  </si>
  <si>
    <t xml:space="preserve">  Investment Interest Rate</t>
  </si>
  <si>
    <t>Labour Costs</t>
  </si>
  <si>
    <t xml:space="preserve">  Labour Hours</t>
  </si>
  <si>
    <t xml:space="preserve">  Labour Rate</t>
  </si>
  <si>
    <t>tons</t>
  </si>
  <si>
    <t>km</t>
  </si>
  <si>
    <t>/km</t>
  </si>
  <si>
    <t>/loaded mile</t>
  </si>
  <si>
    <t>/head</t>
  </si>
  <si>
    <t>/cwt</t>
  </si>
  <si>
    <t xml:space="preserve">  /cwt</t>
  </si>
  <si>
    <t xml:space="preserve">     Buying Commission</t>
  </si>
  <si>
    <t xml:space="preserve">     Insurance</t>
  </si>
  <si>
    <t xml:space="preserve">     Selling commission</t>
  </si>
  <si>
    <t xml:space="preserve">     Trucking Cost</t>
  </si>
  <si>
    <t>%</t>
  </si>
  <si>
    <t>years</t>
  </si>
  <si>
    <t>days on grain</t>
  </si>
  <si>
    <t>lbs/bushel</t>
  </si>
  <si>
    <t>/bushel</t>
  </si>
  <si>
    <t>lbs/ton</t>
  </si>
  <si>
    <t>building &amp; equipment investment</t>
  </si>
  <si>
    <t>/$100</t>
  </si>
  <si>
    <t xml:space="preserve">  Buildings,Corrals</t>
  </si>
  <si>
    <t xml:space="preserve">    &amp; Water System</t>
  </si>
  <si>
    <r>
      <t>Original Cost + Salvage Value</t>
    </r>
    <r>
      <rPr>
        <b/>
        <sz val="12"/>
        <rFont val="Arial"/>
        <family val="2"/>
      </rPr>
      <t xml:space="preserve"> x Investment Rate</t>
    </r>
  </si>
  <si>
    <t>Salt, Vitamins &amp; Mineral</t>
  </si>
  <si>
    <t>% mortality rate</t>
  </si>
  <si>
    <t>% operating interest</t>
  </si>
  <si>
    <t>% investment rate</t>
  </si>
  <si>
    <t>Vitamin A,D &amp; E</t>
  </si>
  <si>
    <t>External &amp; Internal Parasites</t>
  </si>
  <si>
    <t>Implant</t>
  </si>
  <si>
    <t>Antibiotics</t>
  </si>
  <si>
    <t>per load</t>
  </si>
  <si>
    <t>tons/feeder/year</t>
  </si>
  <si>
    <t>feeder investment</t>
  </si>
  <si>
    <t>C.  Labour</t>
  </si>
  <si>
    <t>C. Labour</t>
  </si>
  <si>
    <t>$/cwt selling price</t>
  </si>
  <si>
    <t>income</t>
  </si>
  <si>
    <t>operating less feeder cost</t>
  </si>
  <si>
    <t>lbs purchase weight</t>
  </si>
  <si>
    <t>Breakeven purchase price</t>
  </si>
  <si>
    <t>op &amp; fixed less feeder cost</t>
  </si>
  <si>
    <t>total less feeder cost</t>
  </si>
  <si>
    <t xml:space="preserve">Date: </t>
  </si>
  <si>
    <t>Guidelines For Estimating</t>
  </si>
  <si>
    <t>Trucking</t>
  </si>
  <si>
    <t>lbs purchase net weight</t>
  </si>
  <si>
    <t>Supplement 32%</t>
  </si>
  <si>
    <t xml:space="preserve">     Cost/Head(IBR,BVD,PI3,BVD,BRSV, Pasteurella)</t>
  </si>
  <si>
    <t xml:space="preserve">     Blackleg &amp; Haemophilus</t>
  </si>
  <si>
    <t xml:space="preserve">     Truck Capacity</t>
  </si>
  <si>
    <t>lbs/load</t>
  </si>
  <si>
    <t>IBR,PI3,BVD,BRSV &amp; Pasteurella</t>
  </si>
  <si>
    <t>Blackleg &amp; Haemphilus</t>
  </si>
  <si>
    <t>marketing costs</t>
  </si>
  <si>
    <t>/tonne</t>
  </si>
  <si>
    <t>lbs/tonne</t>
  </si>
  <si>
    <t>Cattle feeding is a high risk business requiring large amounts of short term capital to buy feeder cattle and feed. With cyclical price variations for both livestock and feed, successful management involves careful consideration of costs, projection of markets and sound judgement.</t>
  </si>
  <si>
    <t>utilities</t>
  </si>
  <si>
    <t>removal cost</t>
  </si>
  <si>
    <t xml:space="preserve">  Marketing Costs</t>
  </si>
  <si>
    <t xml:space="preserve">  Other Costs</t>
  </si>
  <si>
    <t>Buying Commission &amp; insurance</t>
  </si>
  <si>
    <t>insurance/feeder</t>
  </si>
  <si>
    <t xml:space="preserve">  Feeder Purchase Costs</t>
  </si>
  <si>
    <t>hours/head</t>
  </si>
  <si>
    <t>Cost per lb of</t>
  </si>
  <si>
    <t>gain sold ($/cwt)</t>
  </si>
  <si>
    <t>Estimated Farmgate</t>
  </si>
  <si>
    <t xml:space="preserve">     Feed Costs</t>
  </si>
  <si>
    <t xml:space="preserve"> Per Head</t>
  </si>
  <si>
    <t>Marginal Returns per head</t>
  </si>
  <si>
    <t>Breakeven Selling</t>
  </si>
  <si>
    <t>Price ($/cwt) @</t>
  </si>
  <si>
    <t>Breakeven Purchase</t>
  </si>
  <si>
    <t>Breakeven Analysis</t>
  </si>
  <si>
    <t xml:space="preserve">     Operating Costs &amp; Labour</t>
  </si>
  <si>
    <t>Operating &amp; Labour Costs</t>
  </si>
  <si>
    <t>operating &amp; labour</t>
  </si>
  <si>
    <t>Beef Feedlot Finishing Costs</t>
  </si>
  <si>
    <t>op &amp; labour less feeder cost</t>
  </si>
  <si>
    <t>Operating &amp; Labour</t>
  </si>
  <si>
    <t>operating &amp; fixed costs</t>
  </si>
  <si>
    <t>operating &amp; labour costs</t>
  </si>
  <si>
    <t xml:space="preserve">. . . . . . . . . . . . . . . . . . . . . . . . . . . . . . . . . . . . . . . . . . . . . . . . . </t>
  </si>
  <si>
    <t>Profitability and Breakeven Analysis</t>
  </si>
  <si>
    <r>
      <t>Note:</t>
    </r>
    <r>
      <rPr>
        <sz val="10"/>
        <rFont val="Arial"/>
        <family val="2"/>
      </rPr>
      <t xml:space="preserve"> This budget is only a guide and is not intended as an in-depth study of the cost of production of this industry. Interpretation and utilization of this information is the responsibility of the user. No liability for decisions based on this publication is assumed. </t>
    </r>
  </si>
  <si>
    <t>commission/feeder</t>
  </si>
  <si>
    <t>MBP Levy</t>
  </si>
  <si>
    <t>weight gain (lb)</t>
  </si>
  <si>
    <t xml:space="preserve">These budgets may be adjusted by putting in your own figures.  As a producer you are encouraged to calculate your own costs of production.  Good management is assumed in that a balanced ration is being fed, livestock are on a herd health program and handling facilities are included.  </t>
  </si>
  <si>
    <t xml:space="preserve">This tool is available as an Excel worksheet at: </t>
  </si>
  <si>
    <t xml:space="preserve">commission </t>
  </si>
  <si>
    <t>WLPIP Insurance Premium</t>
  </si>
  <si>
    <t>determine machinery costs.</t>
  </si>
  <si>
    <t xml:space="preserve">                                                                                            is also available to help</t>
  </si>
  <si>
    <t xml:space="preserve">          Hydro - Rate</t>
  </si>
  <si>
    <t>/ kWh</t>
  </si>
  <si>
    <t>kWh per feeder</t>
  </si>
  <si>
    <t>1000 watt waterer</t>
  </si>
  <si>
    <t>Total Hydro</t>
  </si>
  <si>
    <t xml:space="preserve">          Telephone</t>
  </si>
  <si>
    <t>Risk &amp; Sensitivity Analysis (Stress Test)</t>
  </si>
  <si>
    <t>***HIDE***</t>
  </si>
  <si>
    <t>Feed cost</t>
  </si>
  <si>
    <t>Feeder Cost</t>
  </si>
  <si>
    <t>Subtotal</t>
  </si>
  <si>
    <t>Price ($ per cwt)</t>
  </si>
  <si>
    <t>Percent Market Price Change</t>
  </si>
  <si>
    <t>Percent Feed Cost Change</t>
  </si>
  <si>
    <t>Percent Feeder Cost Change</t>
  </si>
  <si>
    <t>Per Head</t>
  </si>
  <si>
    <t>Market Price ($ per cwt)</t>
  </si>
  <si>
    <t>Feed Cost</t>
  </si>
  <si>
    <t>Gross Revenue / feeder</t>
  </si>
  <si>
    <t xml:space="preserve">Marginal Returns </t>
  </si>
  <si>
    <t xml:space="preserve">   Over Operating Costs</t>
  </si>
  <si>
    <t xml:space="preserve">   Over Operating &amp; Labour Costs</t>
  </si>
  <si>
    <t xml:space="preserve">   Over Total Costs (Net Profit)</t>
  </si>
  <si>
    <t>Operating Expense Ratio</t>
  </si>
  <si>
    <t>Estimated Breakeven Canadian Dollar Analysis</t>
  </si>
  <si>
    <t>Breakeven CDN Dollar ($1 Cdn = $ USD)</t>
  </si>
  <si>
    <t>Operating, Fixed &amp; Labour Costs</t>
  </si>
  <si>
    <r>
      <rPr>
        <b/>
        <sz val="12"/>
        <rFont val="Arial"/>
        <family val="2"/>
      </rPr>
      <t xml:space="preserve">Note: </t>
    </r>
    <r>
      <rPr>
        <sz val="12"/>
        <rFont val="Arial"/>
        <family val="2"/>
      </rPr>
      <t>This budget is only a guide and is not intended as an in depth study of the cost of production of this industry. Interpretation and utilization of this information is the responsibility of the user.</t>
    </r>
  </si>
  <si>
    <t>$1 Canadian Dollar</t>
  </si>
  <si>
    <t>/ $1 USD</t>
  </si>
  <si>
    <t xml:space="preserve">   a)  Machinery Fuel Costs - Winter Feeding</t>
  </si>
  <si>
    <t xml:space="preserve">              Tractor with Loader PTO hp</t>
  </si>
  <si>
    <t xml:space="preserve">              Diesel Fuel Cost</t>
  </si>
  <si>
    <t>/litre</t>
  </si>
  <si>
    <t xml:space="preserve">              Tractor Hours Per Day (average)</t>
  </si>
  <si>
    <t xml:space="preserve">   b) Machinery Repair (% of investment cost)</t>
  </si>
  <si>
    <t xml:space="preserve">   c) Building  maintenance (% of investment cost)</t>
  </si>
  <si>
    <t>Machinery fuel cost</t>
  </si>
  <si>
    <t>PTO hp</t>
  </si>
  <si>
    <t>avg HP required</t>
  </si>
  <si>
    <t>litres fuel/hour/hp</t>
  </si>
  <si>
    <t>hours per day</t>
  </si>
  <si>
    <t>diesel / litre</t>
  </si>
  <si>
    <t>annual fuel cost</t>
  </si>
  <si>
    <t>feeders</t>
  </si>
  <si>
    <t>Machinery repair &amp; maintenance</t>
  </si>
  <si>
    <t>machinery capital cost</t>
  </si>
  <si>
    <t>% repair rate</t>
  </si>
  <si>
    <t>oil, repairs &amp; maintenance</t>
  </si>
  <si>
    <t>Building repair &amp; maintenance</t>
  </si>
  <si>
    <t>building capital cost</t>
  </si>
  <si>
    <t xml:space="preserve">    1.03  Alfalfa Grass Hay</t>
  </si>
  <si>
    <t>Alfalfa Grass Hay</t>
  </si>
  <si>
    <t xml:space="preserve">      MBP/NCO Levy $/Head </t>
  </si>
  <si>
    <t>HIDE</t>
  </si>
  <si>
    <t>Return on Investment (ROI)</t>
  </si>
  <si>
    <t>Profitability and Breakeven Analysis:</t>
  </si>
  <si>
    <t>Estimated Return on Asset (ROA)</t>
  </si>
  <si>
    <t>C.  Owners - Labour &amp; Living</t>
  </si>
  <si>
    <t>This guide is designed to provide you with planning information and a format for calculating costs of production of a beef cattle feedlot finishing enterprise in Manitoba.  General Manitoba Agriculture recommendations are assumed in using feed and veterinary inputs. These figures provide an economic evaluation of the livestock and estimated prices required to cover all costs.  Costs include labour, investment and depreciation, but do not include management costs, nor do they necessarily represent the average cost of production in Manitoba.</t>
  </si>
  <si>
    <r>
      <t>Note:</t>
    </r>
    <r>
      <rPr>
        <sz val="11"/>
        <rFont val="Arial"/>
        <family val="2"/>
      </rPr>
      <t xml:space="preserve"> This budget is only a guide and is not intended as an in-depth study of the cost of production of this industry. Interpretation and use of this information is the responsibility of the user.  If you need help with a budget, contact a Farm Management Specialist.</t>
    </r>
  </si>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</sst>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quot;$&quot;#,##0"/>
    <numFmt numFmtId="7" formatCode="&quot;$&quot;#,##0.00;\-&quot;$&quot;#,##0.00"/>
    <numFmt numFmtId="8" formatCode="&quot;$&quot;#,##0.00;[Red]\-&quot;$&quot;#,##0.00"/>
    <numFmt numFmtId="164" formatCode="&quot;$&quot;#,##0_);\(&quot;$&quot;#,##0\)"/>
    <numFmt numFmtId="165" formatCode="&quot;$&quot;#,##0_);[Red]\(&quot;$&quot;#,##0\)"/>
    <numFmt numFmtId="166" formatCode="&quot;$&quot;#,##0.00_);\(&quot;$&quot;#,##0.00\)"/>
    <numFmt numFmtId="167" formatCode="&quot;$&quot;#,##0.00_);[Red]\(&quot;$&quot;#,##0.00\)"/>
    <numFmt numFmtId="168" formatCode="#,##0.0"/>
    <numFmt numFmtId="169" formatCode="&quot;$&quot;#,##0"/>
    <numFmt numFmtId="170" formatCode="&quot;$&quot;#,##0.00"/>
    <numFmt numFmtId="171" formatCode="#,##0.0_);[Red]\(#,##0.0\)"/>
    <numFmt numFmtId="172" formatCode="_-&quot;£&quot;* #,##0_-;\-&quot;£&quot;* #,##0_-;_-&quot;£&quot;* &quot;-&quot;_-;_-@_-"/>
    <numFmt numFmtId="173" formatCode="_-&quot;£&quot;* #,##0.00_-;\-&quot;£&quot;* #,##0.00_-;_-&quot;£&quot;* &quot;-&quot;??_-;_-@_-"/>
    <numFmt numFmtId="174" formatCode="0.0"/>
    <numFmt numFmtId="175" formatCode="&quot;$&quot;#,##0.00;[Red]&quot;$&quot;#,##0.00"/>
    <numFmt numFmtId="176" formatCode="#,##0_ ;\-#,##0\ "/>
    <numFmt numFmtId="177" formatCode="0.0%"/>
    <numFmt numFmtId="178" formatCode="#,##0.0_ ;\-#,##0.0\ "/>
    <numFmt numFmtId="179" formatCode="0.0%;\(0.0%\)"/>
    <numFmt numFmtId="180" formatCode="0.0000"/>
    <numFmt numFmtId="181" formatCode="&quot;$&quot;#,##0.0000"/>
    <numFmt numFmtId="182" formatCode="&quot;$&quot;#,##0.0000;[Red]&quot;$&quot;#,##0.0000"/>
    <numFmt numFmtId="183" formatCode="#,##0.00_);[Red]\(#,##0.00\)"/>
    <numFmt numFmtId="184" formatCode="#,##0.0000000"/>
    <numFmt numFmtId="185" formatCode="&quot;$&quot;#,##0.00000;[Red]\-&quot;$&quot;#,##0.00000"/>
  </numFmts>
  <fonts count="44" x14ac:knownFonts="1">
    <font>
      <sz val="12"/>
      <name val="Arial"/>
    </font>
    <font>
      <b/>
      <sz val="12"/>
      <name val="Arial"/>
      <family val="2"/>
    </font>
    <font>
      <b/>
      <sz val="14"/>
      <color indexed="18"/>
      <name val="Arial"/>
      <family val="2"/>
    </font>
    <font>
      <b/>
      <sz val="12"/>
      <name val="Arial"/>
      <family val="2"/>
    </font>
    <font>
      <b/>
      <u/>
      <sz val="12"/>
      <name val="Arial"/>
      <family val="2"/>
    </font>
    <font>
      <b/>
      <sz val="12"/>
      <color indexed="12"/>
      <name val="Arial"/>
      <family val="2"/>
    </font>
    <font>
      <u/>
      <sz val="12"/>
      <name val="Arial"/>
      <family val="2"/>
    </font>
    <font>
      <b/>
      <u/>
      <sz val="12"/>
      <color indexed="12"/>
      <name val="Arial"/>
      <family val="2"/>
    </font>
    <font>
      <sz val="12"/>
      <name val="Arial"/>
      <family val="2"/>
    </font>
    <font>
      <u/>
      <sz val="14"/>
      <name val="Arial"/>
      <family val="2"/>
    </font>
    <font>
      <b/>
      <i/>
      <sz val="12"/>
      <name val="Arial"/>
      <family val="2"/>
    </font>
    <font>
      <b/>
      <sz val="16"/>
      <color indexed="18"/>
      <name val="Arial"/>
      <family val="2"/>
    </font>
    <font>
      <sz val="12"/>
      <color indexed="12"/>
      <name val="Arial"/>
      <family val="2"/>
    </font>
    <font>
      <u/>
      <sz val="12"/>
      <color indexed="12"/>
      <name val="Arial"/>
      <family val="2"/>
    </font>
    <font>
      <sz val="10"/>
      <name val="Arial"/>
      <family val="2"/>
    </font>
    <font>
      <sz val="10"/>
      <name val="Arial"/>
      <family val="2"/>
    </font>
    <font>
      <sz val="10"/>
      <color indexed="12"/>
      <name val="Arial"/>
      <family val="2"/>
    </font>
    <font>
      <b/>
      <sz val="14"/>
      <name val="Arial"/>
      <family val="2"/>
    </font>
    <font>
      <sz val="14"/>
      <name val="Arial"/>
      <family val="2"/>
    </font>
    <font>
      <b/>
      <sz val="10"/>
      <name val="Arial"/>
      <family val="2"/>
    </font>
    <font>
      <u/>
      <sz val="12"/>
      <name val="Arial"/>
      <family val="2"/>
    </font>
    <font>
      <b/>
      <sz val="12"/>
      <color indexed="10"/>
      <name val="Arial"/>
      <family val="2"/>
    </font>
    <font>
      <sz val="12"/>
      <color indexed="10"/>
      <name val="Arial"/>
      <family val="2"/>
    </font>
    <font>
      <b/>
      <sz val="8"/>
      <color indexed="81"/>
      <name val="Tahoma"/>
      <family val="2"/>
    </font>
    <font>
      <sz val="8"/>
      <color indexed="81"/>
      <name val="Tahoma"/>
      <family val="2"/>
    </font>
    <font>
      <b/>
      <sz val="11"/>
      <name val="Arial"/>
      <family val="2"/>
    </font>
    <font>
      <b/>
      <u/>
      <sz val="11"/>
      <name val="Arial"/>
      <family val="2"/>
    </font>
    <font>
      <sz val="16"/>
      <color indexed="18"/>
      <name val="Arial"/>
      <family val="2"/>
    </font>
    <font>
      <b/>
      <sz val="20"/>
      <color indexed="18"/>
      <name val="Arial"/>
      <family val="2"/>
    </font>
    <font>
      <sz val="22"/>
      <name val="Arial"/>
      <family val="2"/>
    </font>
    <font>
      <sz val="12"/>
      <name val="Tahoma"/>
      <family val="2"/>
    </font>
    <font>
      <sz val="11"/>
      <name val="Arial"/>
      <family val="2"/>
    </font>
    <font>
      <u/>
      <sz val="11"/>
      <color theme="10"/>
      <name val="Calibri"/>
      <family val="2"/>
    </font>
    <font>
      <sz val="14"/>
      <color theme="0"/>
      <name val="Arial"/>
      <family val="2"/>
    </font>
    <font>
      <sz val="12"/>
      <color theme="0"/>
      <name val="Arial"/>
      <family val="2"/>
    </font>
    <font>
      <b/>
      <sz val="12"/>
      <color theme="0"/>
      <name val="Arial"/>
      <family val="2"/>
    </font>
    <font>
      <b/>
      <u/>
      <sz val="11"/>
      <color theme="10"/>
      <name val="Arial"/>
      <family val="2"/>
    </font>
    <font>
      <b/>
      <sz val="12"/>
      <color theme="1"/>
      <name val="Arial"/>
      <family val="2"/>
    </font>
    <font>
      <b/>
      <sz val="10"/>
      <color theme="1"/>
      <name val="Arial"/>
      <family val="2"/>
    </font>
    <font>
      <b/>
      <sz val="12"/>
      <color rgb="FF0000FF"/>
      <name val="Arial"/>
      <family val="2"/>
    </font>
    <font>
      <b/>
      <sz val="16"/>
      <color theme="0"/>
      <name val="Arial"/>
      <family val="2"/>
    </font>
    <font>
      <b/>
      <sz val="14"/>
      <color theme="0"/>
      <name val="Arial"/>
      <family val="2"/>
    </font>
    <font>
      <b/>
      <u/>
      <sz val="14"/>
      <color theme="0"/>
      <name val="Arial"/>
      <family val="2"/>
    </font>
    <font>
      <b/>
      <sz val="10"/>
      <color rgb="FF0000FF"/>
      <name val="Arial"/>
      <family val="2"/>
    </font>
  </fonts>
  <fills count="10">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6795556505021"/>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alignment vertical="top"/>
    </xf>
    <xf numFmtId="165" fontId="8" fillId="0" borderId="0"/>
    <xf numFmtId="165" fontId="5" fillId="0" borderId="0">
      <protection locked="0"/>
    </xf>
    <xf numFmtId="167" fontId="8" fillId="0" borderId="0"/>
    <xf numFmtId="167" fontId="5" fillId="0" borderId="0">
      <protection locked="0"/>
    </xf>
    <xf numFmtId="38" fontId="8" fillId="0" borderId="0"/>
    <xf numFmtId="38" fontId="5" fillId="0" borderId="0">
      <protection locked="0"/>
    </xf>
    <xf numFmtId="171" fontId="8" fillId="0" borderId="0"/>
    <xf numFmtId="171" fontId="5" fillId="0" borderId="0">
      <protection locked="0"/>
    </xf>
    <xf numFmtId="40" fontId="8" fillId="0" borderId="0"/>
    <xf numFmtId="40" fontId="5" fillId="0" borderId="0">
      <protection locked="0"/>
    </xf>
    <xf numFmtId="166" fontId="8" fillId="0" borderId="0">
      <alignment horizontal="right" vertical="justify"/>
    </xf>
    <xf numFmtId="0" fontId="32" fillId="0" borderId="0" applyNumberFormat="0" applyFill="0" applyBorder="0" applyAlignment="0" applyProtection="0">
      <alignment vertical="top"/>
      <protection locked="0"/>
    </xf>
    <xf numFmtId="0" fontId="14" fillId="0" borderId="0">
      <alignment vertical="top"/>
    </xf>
    <xf numFmtId="170" fontId="8" fillId="0" borderId="0">
      <alignment vertical="top"/>
    </xf>
    <xf numFmtId="170" fontId="8" fillId="0" borderId="0">
      <alignment vertical="top"/>
    </xf>
    <xf numFmtId="38" fontId="15" fillId="2" borderId="1"/>
    <xf numFmtId="38" fontId="16" fillId="0" borderId="1">
      <protection locked="0"/>
    </xf>
    <xf numFmtId="171" fontId="15" fillId="3" borderId="1"/>
    <xf numFmtId="171" fontId="16" fillId="0" borderId="1">
      <protection locked="0"/>
    </xf>
    <xf numFmtId="40" fontId="15" fillId="3" borderId="1"/>
    <xf numFmtId="40" fontId="16" fillId="0" borderId="1">
      <protection locked="0"/>
    </xf>
    <xf numFmtId="10" fontId="15" fillId="2" borderId="1"/>
    <xf numFmtId="10" fontId="16" fillId="4" borderId="1">
      <protection locked="0"/>
    </xf>
    <xf numFmtId="0" fontId="14" fillId="5" borderId="0"/>
    <xf numFmtId="172" fontId="14" fillId="0" borderId="0" applyFont="0" applyFill="0" applyBorder="0" applyAlignment="0" applyProtection="0"/>
    <xf numFmtId="173" fontId="14" fillId="0" borderId="0" applyFont="0" applyFill="0" applyBorder="0" applyAlignment="0" applyProtection="0"/>
  </cellStyleXfs>
  <cellXfs count="362">
    <xf numFmtId="5" fontId="0" fillId="0" borderId="0" xfId="0" applyNumberFormat="1" applyAlignment="1"/>
    <xf numFmtId="5" fontId="0" fillId="0" borderId="0" xfId="0" applyNumberFormat="1" applyBorder="1" applyAlignment="1"/>
    <xf numFmtId="5" fontId="1" fillId="0" borderId="0" xfId="0" applyNumberFormat="1" applyFont="1" applyBorder="1" applyAlignment="1"/>
    <xf numFmtId="7" fontId="0" fillId="0" borderId="0" xfId="0" applyNumberFormat="1" applyBorder="1" applyAlignment="1"/>
    <xf numFmtId="7" fontId="1" fillId="0" borderId="0" xfId="0" applyNumberFormat="1" applyFont="1" applyBorder="1" applyAlignment="1"/>
    <xf numFmtId="5" fontId="1" fillId="0" borderId="0" xfId="0" applyNumberFormat="1" applyFont="1" applyBorder="1" applyAlignment="1">
      <alignment horizontal="left"/>
    </xf>
    <xf numFmtId="5" fontId="3" fillId="0" borderId="0" xfId="0" applyNumberFormat="1" applyFont="1" applyBorder="1" applyAlignment="1"/>
    <xf numFmtId="5" fontId="6" fillId="0" borderId="0" xfId="0" applyNumberFormat="1" applyFont="1" applyBorder="1" applyAlignment="1"/>
    <xf numFmtId="5" fontId="0" fillId="0" borderId="0" xfId="0" applyNumberFormat="1" applyBorder="1" applyAlignment="1">
      <alignment horizontal="left"/>
    </xf>
    <xf numFmtId="1" fontId="6" fillId="0" borderId="0" xfId="0" applyNumberFormat="1" applyFont="1" applyBorder="1" applyAlignment="1"/>
    <xf numFmtId="5" fontId="0" fillId="0" borderId="2" xfId="0" applyNumberFormat="1" applyBorder="1" applyAlignment="1"/>
    <xf numFmtId="5" fontId="4" fillId="0" borderId="0" xfId="0" applyNumberFormat="1" applyFont="1" applyBorder="1" applyAlignment="1"/>
    <xf numFmtId="164" fontId="3" fillId="0" borderId="0" xfId="0" applyNumberFormat="1" applyFont="1" applyAlignment="1" applyProtection="1"/>
    <xf numFmtId="164" fontId="0" fillId="0" borderId="0" xfId="0" applyNumberFormat="1" applyAlignment="1" applyProtection="1"/>
    <xf numFmtId="164" fontId="3" fillId="0" borderId="0" xfId="0" applyNumberFormat="1" applyFont="1" applyAlignment="1" applyProtection="1">
      <alignment horizontal="right"/>
    </xf>
    <xf numFmtId="166" fontId="3" fillId="0" borderId="0" xfId="0" applyNumberFormat="1" applyFont="1" applyAlignment="1" applyProtection="1">
      <alignment horizontal="right"/>
    </xf>
    <xf numFmtId="3" fontId="3" fillId="0" borderId="0" xfId="0" applyNumberFormat="1" applyFont="1" applyAlignment="1" applyProtection="1">
      <alignment horizontal="right"/>
    </xf>
    <xf numFmtId="164" fontId="4" fillId="0" borderId="0" xfId="0" applyNumberFormat="1" applyFont="1" applyAlignment="1" applyProtection="1">
      <alignment horizontal="right"/>
    </xf>
    <xf numFmtId="166" fontId="4" fillId="0" borderId="0" xfId="0" applyNumberFormat="1" applyFont="1" applyAlignment="1" applyProtection="1">
      <alignment horizontal="right"/>
    </xf>
    <xf numFmtId="3" fontId="4" fillId="0" borderId="0" xfId="0" applyNumberFormat="1" applyFont="1" applyAlignment="1" applyProtection="1">
      <alignment horizontal="right"/>
    </xf>
    <xf numFmtId="168" fontId="8" fillId="0" borderId="0" xfId="0" applyNumberFormat="1" applyFont="1" applyAlignment="1" applyProtection="1"/>
    <xf numFmtId="166" fontId="8" fillId="0" borderId="0" xfId="0" applyNumberFormat="1" applyFont="1" applyAlignment="1" applyProtection="1"/>
    <xf numFmtId="4" fontId="8" fillId="0" borderId="0" xfId="0" applyNumberFormat="1" applyFont="1" applyAlignment="1" applyProtection="1"/>
    <xf numFmtId="170" fontId="8" fillId="0" borderId="0" xfId="0" applyNumberFormat="1" applyFont="1" applyAlignment="1" applyProtection="1"/>
    <xf numFmtId="170" fontId="0" fillId="0" borderId="0" xfId="0" applyNumberFormat="1" applyAlignment="1" applyProtection="1"/>
    <xf numFmtId="1" fontId="8" fillId="0" borderId="0" xfId="0" applyNumberFormat="1" applyFont="1" applyAlignment="1" applyProtection="1"/>
    <xf numFmtId="164" fontId="8" fillId="0" borderId="0" xfId="0" applyNumberFormat="1" applyFont="1" applyAlignment="1" applyProtection="1"/>
    <xf numFmtId="3" fontId="8" fillId="0" borderId="0" xfId="0" applyNumberFormat="1" applyFont="1" applyAlignment="1" applyProtection="1"/>
    <xf numFmtId="164" fontId="8" fillId="0" borderId="0" xfId="0" applyNumberFormat="1" applyFont="1" applyBorder="1" applyAlignment="1" applyProtection="1"/>
    <xf numFmtId="0" fontId="8"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64" fontId="3" fillId="0" borderId="0" xfId="0" applyNumberFormat="1" applyFont="1" applyFill="1" applyBorder="1" applyAlignment="1" applyProtection="1"/>
    <xf numFmtId="164" fontId="8" fillId="0" borderId="0" xfId="0" quotePrefix="1" applyNumberFormat="1" applyFont="1" applyBorder="1" applyAlignment="1" applyProtection="1"/>
    <xf numFmtId="5" fontId="0" fillId="0" borderId="0" xfId="0" applyNumberFormat="1" applyAlignment="1" applyProtection="1"/>
    <xf numFmtId="5" fontId="3" fillId="0" borderId="0" xfId="0" applyNumberFormat="1" applyFont="1" applyAlignment="1" applyProtection="1"/>
    <xf numFmtId="5" fontId="4" fillId="0" borderId="0" xfId="0" applyNumberFormat="1" applyFont="1" applyAlignment="1" applyProtection="1">
      <alignment horizontal="right"/>
    </xf>
    <xf numFmtId="7" fontId="0" fillId="0" borderId="0" xfId="0" applyNumberFormat="1" applyAlignment="1" applyProtection="1"/>
    <xf numFmtId="7" fontId="5" fillId="0" borderId="0" xfId="0" applyNumberFormat="1" applyFont="1" applyAlignment="1" applyProtection="1"/>
    <xf numFmtId="5" fontId="3" fillId="0" borderId="0" xfId="0" applyNumberFormat="1" applyFont="1" applyAlignment="1" applyProtection="1">
      <alignment horizontal="center"/>
    </xf>
    <xf numFmtId="5" fontId="3" fillId="0" borderId="0" xfId="0" applyNumberFormat="1" applyFont="1" applyAlignment="1" applyProtection="1">
      <alignment horizontal="right"/>
    </xf>
    <xf numFmtId="5" fontId="4" fillId="0" borderId="0" xfId="0" applyNumberFormat="1" applyFont="1" applyAlignment="1" applyProtection="1">
      <alignment horizontal="center"/>
    </xf>
    <xf numFmtId="7" fontId="4" fillId="0" borderId="0" xfId="0" applyNumberFormat="1" applyFont="1" applyAlignment="1" applyProtection="1">
      <alignment horizontal="right"/>
    </xf>
    <xf numFmtId="3" fontId="0" fillId="0" borderId="0" xfId="0" applyNumberFormat="1" applyAlignment="1" applyProtection="1"/>
    <xf numFmtId="168" fontId="0" fillId="0" borderId="0" xfId="0" applyNumberFormat="1" applyAlignment="1" applyProtection="1"/>
    <xf numFmtId="5" fontId="0" fillId="0" borderId="0" xfId="0" applyNumberFormat="1" applyBorder="1" applyAlignment="1" applyProtection="1"/>
    <xf numFmtId="5" fontId="0" fillId="0" borderId="0" xfId="0" applyNumberFormat="1" applyBorder="1" applyAlignment="1" applyProtection="1">
      <alignment horizontal="right"/>
    </xf>
    <xf numFmtId="5" fontId="1" fillId="0" borderId="0" xfId="0" applyNumberFormat="1" applyFont="1" applyBorder="1" applyAlignment="1" applyProtection="1"/>
    <xf numFmtId="5" fontId="0" fillId="0" borderId="2" xfId="0" applyNumberFormat="1" applyBorder="1" applyAlignment="1" applyProtection="1"/>
    <xf numFmtId="5" fontId="6" fillId="0" borderId="0" xfId="0" applyNumberFormat="1" applyFont="1" applyBorder="1" applyAlignment="1" applyProtection="1"/>
    <xf numFmtId="5" fontId="3" fillId="0" borderId="0" xfId="0" applyNumberFormat="1" applyFont="1" applyBorder="1" applyAlignment="1" applyProtection="1"/>
    <xf numFmtId="5" fontId="2" fillId="0" borderId="3" xfId="0" applyNumberFormat="1" applyFont="1" applyBorder="1" applyAlignment="1" applyProtection="1">
      <alignment horizontal="center"/>
    </xf>
    <xf numFmtId="5" fontId="8" fillId="0" borderId="0" xfId="0" applyNumberFormat="1" applyFont="1" applyBorder="1" applyAlignment="1" applyProtection="1"/>
    <xf numFmtId="5" fontId="0" fillId="0" borderId="4" xfId="0" applyNumberFormat="1" applyBorder="1" applyAlignment="1" applyProtection="1"/>
    <xf numFmtId="5" fontId="8" fillId="0" borderId="0" xfId="0" applyNumberFormat="1" applyFont="1" applyAlignment="1" applyProtection="1"/>
    <xf numFmtId="5" fontId="8" fillId="0" borderId="0" xfId="0" quotePrefix="1" applyNumberFormat="1" applyFont="1" applyBorder="1" applyAlignment="1" applyProtection="1"/>
    <xf numFmtId="5" fontId="4" fillId="0" borderId="0" xfId="0" applyNumberFormat="1" applyFont="1" applyBorder="1" applyAlignment="1" applyProtection="1"/>
    <xf numFmtId="5" fontId="8" fillId="0" borderId="2" xfId="0" applyNumberFormat="1" applyFont="1" applyBorder="1" applyAlignment="1" applyProtection="1"/>
    <xf numFmtId="7" fontId="3" fillId="0" borderId="0" xfId="0" applyNumberFormat="1" applyFont="1" applyBorder="1" applyAlignment="1" applyProtection="1"/>
    <xf numFmtId="7" fontId="8" fillId="0" borderId="0" xfId="0" applyNumberFormat="1" applyFont="1" applyBorder="1" applyAlignment="1" applyProtection="1"/>
    <xf numFmtId="5" fontId="3" fillId="0" borderId="2" xfId="0" applyNumberFormat="1" applyFont="1" applyBorder="1" applyAlignment="1" applyProtection="1"/>
    <xf numFmtId="5" fontId="9" fillId="0" borderId="0" xfId="0" applyNumberFormat="1" applyFont="1" applyAlignment="1" applyProtection="1">
      <alignment horizontal="center"/>
    </xf>
    <xf numFmtId="5" fontId="12" fillId="0" borderId="0" xfId="0" applyNumberFormat="1" applyFont="1" applyAlignment="1" applyProtection="1"/>
    <xf numFmtId="5" fontId="12" fillId="0" borderId="0" xfId="0" applyNumberFormat="1" applyFont="1" applyAlignment="1" applyProtection="1">
      <alignment horizontal="left"/>
    </xf>
    <xf numFmtId="5" fontId="13" fillId="0" borderId="0" xfId="0" applyNumberFormat="1" applyFont="1" applyAlignment="1" applyProtection="1"/>
    <xf numFmtId="5" fontId="8" fillId="0" borderId="4" xfId="0" applyNumberFormat="1" applyFont="1" applyBorder="1" applyAlignment="1" applyProtection="1"/>
    <xf numFmtId="5" fontId="4" fillId="0" borderId="0" xfId="0" applyNumberFormat="1" applyFont="1" applyBorder="1" applyAlignment="1" applyProtection="1">
      <alignment horizontal="left"/>
    </xf>
    <xf numFmtId="5" fontId="8" fillId="0" borderId="0" xfId="0" applyNumberFormat="1" applyFont="1" applyBorder="1" applyAlignment="1" applyProtection="1">
      <alignment horizontal="left"/>
    </xf>
    <xf numFmtId="5" fontId="3" fillId="0" borderId="0" xfId="0" applyNumberFormat="1" applyFont="1" applyBorder="1" applyAlignment="1" applyProtection="1">
      <alignment horizontal="center"/>
    </xf>
    <xf numFmtId="5" fontId="10" fillId="0" borderId="0" xfId="0" applyNumberFormat="1" applyFont="1" applyBorder="1" applyAlignment="1" applyProtection="1">
      <alignment horizontal="center"/>
    </xf>
    <xf numFmtId="5" fontId="3" fillId="0" borderId="0" xfId="0" quotePrefix="1" applyNumberFormat="1" applyFont="1" applyBorder="1" applyAlignment="1" applyProtection="1">
      <alignment horizontal="center"/>
    </xf>
    <xf numFmtId="38" fontId="5" fillId="0" borderId="0" xfId="6">
      <protection locked="0"/>
    </xf>
    <xf numFmtId="167" fontId="5" fillId="0" borderId="0" xfId="4">
      <protection locked="0"/>
    </xf>
    <xf numFmtId="40" fontId="5" fillId="0" borderId="0" xfId="10">
      <protection locked="0"/>
    </xf>
    <xf numFmtId="38" fontId="8" fillId="0" borderId="0" xfId="5"/>
    <xf numFmtId="165" fontId="5" fillId="0" borderId="0" xfId="2">
      <protection locked="0"/>
    </xf>
    <xf numFmtId="165" fontId="8" fillId="0" borderId="0" xfId="1"/>
    <xf numFmtId="165" fontId="3" fillId="0" borderId="0" xfId="1" applyFont="1"/>
    <xf numFmtId="5" fontId="3" fillId="0" borderId="2" xfId="0" applyNumberFormat="1" applyFont="1" applyBorder="1" applyAlignment="1" applyProtection="1">
      <alignment horizontal="right"/>
    </xf>
    <xf numFmtId="167" fontId="3" fillId="0" borderId="0" xfId="3" applyFont="1"/>
    <xf numFmtId="164" fontId="8" fillId="0" borderId="0" xfId="0" applyNumberFormat="1" applyFont="1" applyFill="1" applyBorder="1" applyAlignment="1" applyProtection="1"/>
    <xf numFmtId="170" fontId="3" fillId="0" borderId="0" xfId="3" applyNumberFormat="1" applyFont="1"/>
    <xf numFmtId="169" fontId="3" fillId="0" borderId="0" xfId="1" applyNumberFormat="1" applyFont="1"/>
    <xf numFmtId="170" fontId="8" fillId="0" borderId="0" xfId="3" applyNumberFormat="1"/>
    <xf numFmtId="170" fontId="6" fillId="0" borderId="0" xfId="3" applyNumberFormat="1" applyFont="1"/>
    <xf numFmtId="170" fontId="8" fillId="0" borderId="0" xfId="3" applyNumberFormat="1" applyFont="1"/>
    <xf numFmtId="170" fontId="8" fillId="0" borderId="0" xfId="0" applyNumberFormat="1" applyFont="1" applyBorder="1" applyAlignment="1" applyProtection="1"/>
    <xf numFmtId="170" fontId="3" fillId="0" borderId="0" xfId="0" applyNumberFormat="1" applyFont="1" applyBorder="1" applyAlignment="1" applyProtection="1"/>
    <xf numFmtId="169" fontId="8" fillId="0" borderId="0" xfId="1" applyNumberFormat="1"/>
    <xf numFmtId="169" fontId="6" fillId="0" borderId="0" xfId="1" applyNumberFormat="1" applyFont="1"/>
    <xf numFmtId="5" fontId="4" fillId="0" borderId="0" xfId="0" applyNumberFormat="1" applyFont="1" applyBorder="1" applyAlignment="1" applyProtection="1">
      <alignment horizontal="right"/>
    </xf>
    <xf numFmtId="5" fontId="6" fillId="0" borderId="0" xfId="0" applyNumberFormat="1" applyFont="1" applyBorder="1" applyAlignment="1" applyProtection="1">
      <alignment horizontal="right"/>
    </xf>
    <xf numFmtId="170" fontId="4" fillId="0" borderId="0" xfId="3" applyNumberFormat="1" applyFont="1" applyBorder="1"/>
    <xf numFmtId="169" fontId="4" fillId="0" borderId="0" xfId="1" applyNumberFormat="1" applyFont="1" applyBorder="1"/>
    <xf numFmtId="5" fontId="6" fillId="0" borderId="0" xfId="0" applyNumberFormat="1" applyFont="1" applyBorder="1" applyAlignment="1">
      <alignment horizontal="center"/>
    </xf>
    <xf numFmtId="5" fontId="3" fillId="0" borderId="0" xfId="0" applyNumberFormat="1" applyFont="1" applyBorder="1" applyAlignment="1">
      <alignment horizontal="center"/>
    </xf>
    <xf numFmtId="7" fontId="3" fillId="0" borderId="0" xfId="0" applyNumberFormat="1" applyFont="1" applyBorder="1" applyAlignment="1"/>
    <xf numFmtId="5" fontId="8" fillId="0" borderId="0" xfId="0" applyNumberFormat="1" applyFont="1" applyBorder="1" applyAlignment="1"/>
    <xf numFmtId="5" fontId="8" fillId="0" borderId="0" xfId="0" applyNumberFormat="1" applyFont="1" applyBorder="1" applyAlignment="1">
      <alignment horizontal="left"/>
    </xf>
    <xf numFmtId="7" fontId="8" fillId="0" borderId="0" xfId="0" applyNumberFormat="1" applyFont="1" applyBorder="1" applyAlignment="1"/>
    <xf numFmtId="5" fontId="8" fillId="0" borderId="0" xfId="0" applyNumberFormat="1" applyFont="1" applyBorder="1" applyAlignment="1">
      <alignment horizontal="center"/>
    </xf>
    <xf numFmtId="5" fontId="6" fillId="0" borderId="0" xfId="0" applyNumberFormat="1" applyFont="1" applyBorder="1" applyAlignment="1">
      <alignment horizontal="left"/>
    </xf>
    <xf numFmtId="7" fontId="4" fillId="0" borderId="0" xfId="0" applyNumberFormat="1" applyFont="1" applyBorder="1" applyAlignment="1"/>
    <xf numFmtId="170" fontId="5" fillId="0" borderId="0" xfId="4" applyNumberFormat="1">
      <protection locked="0"/>
    </xf>
    <xf numFmtId="38" fontId="5" fillId="0" borderId="0" xfId="4" applyNumberFormat="1">
      <protection locked="0"/>
    </xf>
    <xf numFmtId="38" fontId="3" fillId="0" borderId="0" xfId="6" applyFont="1">
      <protection locked="0"/>
    </xf>
    <xf numFmtId="170" fontId="8" fillId="0" borderId="0" xfId="9" applyNumberFormat="1"/>
    <xf numFmtId="170" fontId="6" fillId="0" borderId="0" xfId="9" applyNumberFormat="1" applyFont="1" applyBorder="1"/>
    <xf numFmtId="170" fontId="0" fillId="0" borderId="0" xfId="0" applyNumberFormat="1" applyBorder="1" applyAlignment="1" applyProtection="1"/>
    <xf numFmtId="169" fontId="8" fillId="0" borderId="0" xfId="5" applyNumberFormat="1"/>
    <xf numFmtId="169" fontId="6" fillId="0" borderId="0" xfId="5" applyNumberFormat="1" applyFont="1" applyBorder="1"/>
    <xf numFmtId="169" fontId="0" fillId="0" borderId="0" xfId="0" applyNumberFormat="1" applyBorder="1" applyAlignment="1" applyProtection="1"/>
    <xf numFmtId="4" fontId="5" fillId="0" borderId="0" xfId="10" applyNumberFormat="1">
      <protection locked="0"/>
    </xf>
    <xf numFmtId="3" fontId="5" fillId="0" borderId="0" xfId="6" applyNumberFormat="1">
      <protection locked="0"/>
    </xf>
    <xf numFmtId="4" fontId="8" fillId="0" borderId="0" xfId="5" applyNumberFormat="1"/>
    <xf numFmtId="4" fontId="8" fillId="0" borderId="0" xfId="7" applyNumberFormat="1"/>
    <xf numFmtId="4" fontId="6" fillId="0" borderId="0" xfId="5" applyNumberFormat="1" applyFont="1"/>
    <xf numFmtId="4" fontId="8" fillId="0" borderId="0" xfId="9" applyNumberFormat="1"/>
    <xf numFmtId="4" fontId="6" fillId="0" borderId="0" xfId="9" applyNumberFormat="1" applyFont="1"/>
    <xf numFmtId="4" fontId="8" fillId="0" borderId="0" xfId="5" applyNumberFormat="1" applyFont="1"/>
    <xf numFmtId="4" fontId="6" fillId="0" borderId="0" xfId="3" applyNumberFormat="1" applyFont="1"/>
    <xf numFmtId="5" fontId="8" fillId="0" borderId="0" xfId="0" applyNumberFormat="1" applyFont="1" applyFill="1" applyBorder="1" applyAlignment="1" applyProtection="1"/>
    <xf numFmtId="5" fontId="20" fillId="0" borderId="0" xfId="0" applyNumberFormat="1" applyFont="1" applyBorder="1" applyAlignment="1">
      <alignment horizontal="left"/>
    </xf>
    <xf numFmtId="5" fontId="0" fillId="0" borderId="4" xfId="0" applyNumberFormat="1" applyBorder="1" applyAlignment="1"/>
    <xf numFmtId="5" fontId="21" fillId="0" borderId="0" xfId="0" applyNumberFormat="1" applyFont="1" applyAlignment="1" applyProtection="1"/>
    <xf numFmtId="5" fontId="0" fillId="0" borderId="0" xfId="0" applyNumberFormat="1" applyAlignment="1">
      <alignment vertical="top"/>
    </xf>
    <xf numFmtId="3" fontId="6" fillId="0" borderId="0" xfId="5" applyNumberFormat="1" applyFont="1"/>
    <xf numFmtId="38" fontId="5" fillId="0" borderId="0" xfId="6" applyProtection="1"/>
    <xf numFmtId="5" fontId="22" fillId="0" borderId="0" xfId="0" applyNumberFormat="1" applyFont="1" applyAlignment="1" applyProtection="1"/>
    <xf numFmtId="3" fontId="8" fillId="0" borderId="0" xfId="0" applyNumberFormat="1" applyFont="1" applyAlignment="1"/>
    <xf numFmtId="5" fontId="11" fillId="0" borderId="0" xfId="0" applyNumberFormat="1" applyFont="1" applyAlignment="1">
      <alignment horizontal="center"/>
    </xf>
    <xf numFmtId="3" fontId="18" fillId="0" borderId="0" xfId="0" applyNumberFormat="1" applyFont="1" applyAlignment="1"/>
    <xf numFmtId="3" fontId="8" fillId="0" borderId="0" xfId="0" applyNumberFormat="1" applyFont="1" applyBorder="1" applyAlignment="1" applyProtection="1"/>
    <xf numFmtId="3" fontId="1" fillId="0" borderId="0" xfId="0" applyNumberFormat="1" applyFont="1" applyBorder="1" applyAlignment="1" applyProtection="1"/>
    <xf numFmtId="3" fontId="1" fillId="0" borderId="0" xfId="0" applyNumberFormat="1" applyFont="1" applyAlignment="1" applyProtection="1">
      <alignment horizontal="center"/>
    </xf>
    <xf numFmtId="166" fontId="4" fillId="0" borderId="0" xfId="0" applyNumberFormat="1" applyFont="1" applyBorder="1" applyAlignment="1" applyProtection="1">
      <alignment horizontal="right"/>
    </xf>
    <xf numFmtId="3" fontId="6" fillId="0" borderId="0" xfId="0" applyNumberFormat="1" applyFont="1" applyAlignment="1" applyProtection="1"/>
    <xf numFmtId="164" fontId="4" fillId="0" borderId="0" xfId="0" applyNumberFormat="1" applyFont="1" applyBorder="1" applyAlignment="1" applyProtection="1">
      <alignment horizontal="right"/>
    </xf>
    <xf numFmtId="3" fontId="1" fillId="0" borderId="0" xfId="0" applyNumberFormat="1" applyFont="1" applyAlignment="1"/>
    <xf numFmtId="170" fontId="1" fillId="0" borderId="0" xfId="0" applyNumberFormat="1" applyFont="1" applyAlignment="1"/>
    <xf numFmtId="169" fontId="1" fillId="0" borderId="0" xfId="5" applyNumberFormat="1" applyFont="1"/>
    <xf numFmtId="5" fontId="1" fillId="0" borderId="2" xfId="0" applyNumberFormat="1" applyFont="1" applyBorder="1" applyAlignment="1" applyProtection="1"/>
    <xf numFmtId="3" fontId="1" fillId="0" borderId="2" xfId="0" applyNumberFormat="1" applyFont="1" applyBorder="1" applyAlignment="1"/>
    <xf numFmtId="3" fontId="1" fillId="0" borderId="2" xfId="0" applyNumberFormat="1" applyFont="1" applyBorder="1" applyAlignment="1" applyProtection="1"/>
    <xf numFmtId="170" fontId="1" fillId="0" borderId="2" xfId="0" applyNumberFormat="1" applyFont="1" applyBorder="1" applyAlignment="1"/>
    <xf numFmtId="169" fontId="1" fillId="0" borderId="2" xfId="5" applyNumberFormat="1" applyFont="1" applyBorder="1"/>
    <xf numFmtId="3" fontId="1" fillId="0" borderId="0" xfId="0" applyNumberFormat="1" applyFont="1" applyBorder="1" applyAlignment="1"/>
    <xf numFmtId="5" fontId="25" fillId="0" borderId="0" xfId="0" applyNumberFormat="1" applyFont="1" applyBorder="1" applyAlignment="1" applyProtection="1">
      <alignment horizontal="right"/>
    </xf>
    <xf numFmtId="5" fontId="26" fillId="0" borderId="0" xfId="0" applyNumberFormat="1" applyFont="1" applyBorder="1" applyAlignment="1" applyProtection="1">
      <alignment horizontal="right"/>
    </xf>
    <xf numFmtId="3" fontId="25" fillId="0" borderId="0" xfId="0" applyNumberFormat="1" applyFont="1" applyAlignment="1" applyProtection="1">
      <alignment horizontal="center"/>
    </xf>
    <xf numFmtId="3" fontId="26" fillId="0" borderId="0" xfId="0" applyNumberFormat="1" applyFont="1" applyAlignment="1">
      <alignment horizontal="center"/>
    </xf>
    <xf numFmtId="5" fontId="25" fillId="0" borderId="0" xfId="0" applyNumberFormat="1" applyFont="1" applyBorder="1" applyAlignment="1" applyProtection="1">
      <alignment horizontal="center"/>
    </xf>
    <xf numFmtId="5" fontId="26" fillId="0" borderId="0" xfId="0" applyNumberFormat="1" applyFont="1" applyBorder="1" applyAlignment="1" applyProtection="1">
      <alignment horizontal="center"/>
    </xf>
    <xf numFmtId="170" fontId="8" fillId="0" borderId="0" xfId="3" applyNumberFormat="1" applyAlignment="1">
      <alignment horizontal="right"/>
    </xf>
    <xf numFmtId="166" fontId="8" fillId="0" borderId="0" xfId="3" applyNumberFormat="1" applyAlignment="1">
      <alignment horizontal="right"/>
    </xf>
    <xf numFmtId="165" fontId="5" fillId="0" borderId="0" xfId="2" applyFill="1">
      <protection locked="0"/>
    </xf>
    <xf numFmtId="165" fontId="7" fillId="0" borderId="0" xfId="2" applyFont="1" applyFill="1">
      <protection locked="0"/>
    </xf>
    <xf numFmtId="5" fontId="1" fillId="0" borderId="0" xfId="0" applyNumberFormat="1" applyFont="1" applyAlignment="1">
      <alignment horizontal="right"/>
    </xf>
    <xf numFmtId="170" fontId="8" fillId="0" borderId="0" xfId="15">
      <alignment vertical="top"/>
    </xf>
    <xf numFmtId="170" fontId="8" fillId="0" borderId="0" xfId="15" applyBorder="1">
      <alignment vertical="top"/>
    </xf>
    <xf numFmtId="170" fontId="29" fillId="0" borderId="0" xfId="15" applyFont="1" applyBorder="1" applyAlignment="1">
      <alignment vertical="center"/>
    </xf>
    <xf numFmtId="170" fontId="8" fillId="0" borderId="0" xfId="15" applyBorder="1" applyAlignment="1">
      <alignment vertical="center"/>
    </xf>
    <xf numFmtId="170" fontId="8" fillId="0" borderId="0" xfId="15" applyAlignment="1">
      <alignment vertical="center"/>
    </xf>
    <xf numFmtId="170" fontId="8" fillId="0" borderId="0" xfId="15" applyFont="1">
      <alignment vertical="top"/>
    </xf>
    <xf numFmtId="3" fontId="18" fillId="0" borderId="0" xfId="0" applyNumberFormat="1" applyFont="1" applyAlignment="1">
      <alignment vertical="top"/>
    </xf>
    <xf numFmtId="164" fontId="0" fillId="0" borderId="0" xfId="0" applyNumberFormat="1" applyAlignment="1"/>
    <xf numFmtId="164" fontId="30" fillId="0" borderId="0" xfId="0" applyNumberFormat="1" applyFont="1" applyAlignment="1">
      <alignment vertical="top" wrapText="1"/>
    </xf>
    <xf numFmtId="3" fontId="33" fillId="6" borderId="0" xfId="0" applyNumberFormat="1" applyFont="1" applyFill="1" applyAlignment="1"/>
    <xf numFmtId="3" fontId="34" fillId="6" borderId="0" xfId="0" applyNumberFormat="1" applyFont="1" applyFill="1" applyBorder="1" applyAlignment="1" applyProtection="1"/>
    <xf numFmtId="3" fontId="35" fillId="6" borderId="0" xfId="0" applyNumberFormat="1" applyFont="1" applyFill="1" applyBorder="1" applyAlignment="1" applyProtection="1"/>
    <xf numFmtId="165" fontId="35" fillId="6" borderId="0" xfId="1" applyFont="1" applyFill="1" applyBorder="1"/>
    <xf numFmtId="170" fontId="8" fillId="0" borderId="0" xfId="0" applyNumberFormat="1" applyFont="1" applyFill="1" applyAlignment="1" applyProtection="1"/>
    <xf numFmtId="0" fontId="0" fillId="0" borderId="0" xfId="0" applyFill="1" applyAlignment="1" applyProtection="1"/>
    <xf numFmtId="0" fontId="0" fillId="0" borderId="0" xfId="0" applyAlignment="1"/>
    <xf numFmtId="164" fontId="36" fillId="0" borderId="0" xfId="12" applyNumberFormat="1" applyFont="1" applyAlignment="1" applyProtection="1"/>
    <xf numFmtId="170" fontId="31" fillId="0" borderId="0" xfId="15" applyFont="1">
      <alignment vertical="top"/>
    </xf>
    <xf numFmtId="170" fontId="31" fillId="0" borderId="0" xfId="15" applyFont="1" applyBorder="1">
      <alignment vertical="top"/>
    </xf>
    <xf numFmtId="3" fontId="36" fillId="0" borderId="0" xfId="12" applyNumberFormat="1" applyFont="1" applyAlignment="1" applyProtection="1"/>
    <xf numFmtId="170" fontId="25" fillId="0" borderId="0" xfId="15" applyFont="1">
      <alignment vertical="top"/>
    </xf>
    <xf numFmtId="0" fontId="36" fillId="0" borderId="0" xfId="12" applyFont="1" applyProtection="1">
      <alignment vertical="top"/>
    </xf>
    <xf numFmtId="164" fontId="31" fillId="0" borderId="0" xfId="0" applyNumberFormat="1" applyFont="1" applyAlignment="1"/>
    <xf numFmtId="0" fontId="25" fillId="0" borderId="0" xfId="0" applyFont="1" applyBorder="1" applyAlignment="1" applyProtection="1"/>
    <xf numFmtId="0" fontId="31" fillId="0" borderId="0" xfId="0" applyFont="1" applyBorder="1" applyAlignment="1" applyProtection="1"/>
    <xf numFmtId="3" fontId="31" fillId="0" borderId="0" xfId="0" applyNumberFormat="1" applyFont="1" applyAlignment="1"/>
    <xf numFmtId="0" fontId="25" fillId="0" borderId="0" xfId="0" applyFont="1" applyAlignment="1" applyProtection="1"/>
    <xf numFmtId="164" fontId="25" fillId="0" borderId="0" xfId="0" applyNumberFormat="1" applyFont="1" applyAlignment="1"/>
    <xf numFmtId="3" fontId="25" fillId="0" borderId="0" xfId="0" applyNumberFormat="1" applyFont="1" applyAlignment="1"/>
    <xf numFmtId="0" fontId="31" fillId="0" borderId="0" xfId="0" applyFont="1" applyAlignment="1" applyProtection="1"/>
    <xf numFmtId="166" fontId="0" fillId="0" borderId="0" xfId="0" applyNumberFormat="1" applyFill="1" applyAlignment="1" applyProtection="1"/>
    <xf numFmtId="5" fontId="0" fillId="0" borderId="0" xfId="0" applyNumberFormat="1" applyFill="1" applyAlignment="1" applyProtection="1"/>
    <xf numFmtId="4" fontId="8" fillId="0" borderId="0" xfId="0" applyNumberFormat="1" applyFont="1" applyFill="1" applyAlignment="1" applyProtection="1"/>
    <xf numFmtId="164" fontId="8" fillId="0" borderId="0" xfId="0" applyNumberFormat="1" applyFont="1" applyFill="1" applyAlignment="1" applyProtection="1"/>
    <xf numFmtId="170" fontId="5" fillId="0" borderId="0" xfId="0" applyNumberFormat="1" applyFont="1" applyFill="1" applyAlignment="1" applyProtection="1"/>
    <xf numFmtId="164" fontId="0" fillId="0" borderId="0" xfId="0" applyNumberFormat="1" applyFill="1" applyAlignment="1" applyProtection="1"/>
    <xf numFmtId="0" fontId="37" fillId="0" borderId="0" xfId="0" applyFont="1" applyBorder="1" applyAlignment="1" applyProtection="1"/>
    <xf numFmtId="0" fontId="37" fillId="0" borderId="0" xfId="0" applyFont="1" applyBorder="1" applyAlignment="1" applyProtection="1">
      <alignment horizontal="right"/>
    </xf>
    <xf numFmtId="170" fontId="18" fillId="0" borderId="0" xfId="15" applyFont="1" applyAlignment="1">
      <alignment vertical="top" wrapText="1"/>
    </xf>
    <xf numFmtId="170" fontId="18" fillId="0" borderId="0" xfId="15" applyFont="1" applyAlignment="1">
      <alignment vertical="top"/>
    </xf>
    <xf numFmtId="3" fontId="18" fillId="0" borderId="0" xfId="0" applyNumberFormat="1" applyFont="1" applyAlignment="1" applyProtection="1"/>
    <xf numFmtId="164" fontId="6" fillId="0" borderId="0" xfId="0" applyNumberFormat="1" applyFont="1" applyAlignment="1" applyProtection="1"/>
    <xf numFmtId="164" fontId="8" fillId="0" borderId="2" xfId="0" applyNumberFormat="1" applyFont="1" applyBorder="1" applyAlignment="1" applyProtection="1"/>
    <xf numFmtId="0" fontId="1" fillId="0" borderId="0" xfId="0" applyFont="1" applyAlignment="1" applyProtection="1"/>
    <xf numFmtId="170" fontId="1" fillId="0" borderId="0" xfId="3" applyNumberFormat="1" applyFont="1"/>
    <xf numFmtId="0" fontId="38" fillId="0" borderId="0" xfId="0" applyFont="1" applyBorder="1" applyAlignment="1" applyProtection="1">
      <alignment horizontal="right"/>
    </xf>
    <xf numFmtId="0" fontId="0" fillId="0" borderId="2" xfId="0" applyBorder="1" applyAlignment="1"/>
    <xf numFmtId="174" fontId="0" fillId="0" borderId="0" xfId="0" applyNumberFormat="1" applyAlignment="1"/>
    <xf numFmtId="170" fontId="0" fillId="0" borderId="0" xfId="0" applyNumberFormat="1" applyAlignment="1"/>
    <xf numFmtId="167" fontId="5" fillId="0" borderId="0" xfId="4" applyFill="1">
      <protection locked="0"/>
    </xf>
    <xf numFmtId="166" fontId="5" fillId="0" borderId="0" xfId="0" applyNumberFormat="1" applyFont="1" applyFill="1" applyAlignment="1" applyProtection="1">
      <protection locked="0"/>
    </xf>
    <xf numFmtId="166" fontId="0" fillId="0" borderId="0" xfId="0" applyNumberFormat="1" applyAlignment="1" applyProtection="1"/>
    <xf numFmtId="170" fontId="14" fillId="0" borderId="0" xfId="15" applyFont="1" applyAlignment="1">
      <alignment horizontal="right" vertical="top"/>
    </xf>
    <xf numFmtId="170" fontId="18" fillId="0" borderId="0" xfId="15" applyFont="1" applyAlignment="1">
      <alignment horizontal="left" vertical="top" wrapText="1"/>
    </xf>
    <xf numFmtId="0" fontId="37" fillId="0" borderId="2" xfId="0" applyFont="1" applyBorder="1" applyAlignment="1" applyProtection="1">
      <alignment horizontal="right"/>
    </xf>
    <xf numFmtId="0" fontId="0" fillId="0" borderId="0" xfId="0" applyBorder="1" applyAlignment="1" applyProtection="1">
      <alignment horizontal="right"/>
    </xf>
    <xf numFmtId="0" fontId="8" fillId="0" borderId="0" xfId="0" applyFont="1" applyFill="1" applyAlignment="1"/>
    <xf numFmtId="0" fontId="39" fillId="0" borderId="0" xfId="0" applyFont="1" applyFill="1" applyAlignment="1" applyProtection="1">
      <protection locked="0"/>
    </xf>
    <xf numFmtId="8" fontId="1" fillId="0" borderId="0" xfId="0" applyNumberFormat="1" applyFont="1" applyFill="1" applyAlignment="1" applyProtection="1"/>
    <xf numFmtId="8" fontId="4" fillId="0" borderId="0" xfId="0" applyNumberFormat="1" applyFont="1" applyFill="1" applyAlignment="1" applyProtection="1"/>
    <xf numFmtId="175" fontId="1" fillId="0" borderId="0" xfId="4" applyNumberFormat="1" applyFont="1" applyFill="1" applyProtection="1"/>
    <xf numFmtId="175" fontId="5" fillId="0" borderId="0" xfId="4" applyNumberFormat="1" applyFill="1" applyProtection="1">
      <protection locked="0"/>
    </xf>
    <xf numFmtId="0" fontId="17" fillId="0" borderId="0" xfId="13" applyFont="1" applyFill="1" applyAlignment="1" applyProtection="1"/>
    <xf numFmtId="170" fontId="8" fillId="0" borderId="0" xfId="14">
      <alignment vertical="top"/>
    </xf>
    <xf numFmtId="3" fontId="1" fillId="0" borderId="0" xfId="13" applyNumberFormat="1" applyFont="1" applyAlignment="1" applyProtection="1"/>
    <xf numFmtId="0" fontId="8" fillId="0" borderId="0" xfId="13" applyFont="1" applyAlignment="1"/>
    <xf numFmtId="7" fontId="8" fillId="0" borderId="0" xfId="13" applyNumberFormat="1" applyFont="1" applyAlignment="1"/>
    <xf numFmtId="7" fontId="8" fillId="7" borderId="0" xfId="13" applyNumberFormat="1" applyFont="1" applyFill="1" applyAlignment="1">
      <alignment horizontal="center"/>
    </xf>
    <xf numFmtId="0" fontId="0" fillId="0" borderId="0" xfId="13" applyFont="1" applyAlignment="1"/>
    <xf numFmtId="7" fontId="8" fillId="7" borderId="0" xfId="13" applyNumberFormat="1" applyFont="1" applyFill="1" applyAlignment="1"/>
    <xf numFmtId="7" fontId="6" fillId="0" borderId="0" xfId="13" applyNumberFormat="1" applyFont="1" applyAlignment="1"/>
    <xf numFmtId="0" fontId="1" fillId="0" borderId="0" xfId="13" applyFont="1" applyAlignment="1"/>
    <xf numFmtId="0" fontId="1" fillId="0" borderId="0" xfId="13" applyFont="1" applyAlignment="1" applyProtection="1"/>
    <xf numFmtId="7" fontId="6" fillId="0" borderId="0" xfId="13" applyNumberFormat="1" applyFont="1" applyBorder="1" applyAlignment="1"/>
    <xf numFmtId="3" fontId="1" fillId="0" borderId="0" xfId="14" applyNumberFormat="1" applyFont="1" applyBorder="1" applyAlignment="1" applyProtection="1"/>
    <xf numFmtId="3" fontId="18" fillId="0" borderId="0" xfId="14" applyNumberFormat="1" applyFont="1" applyAlignment="1"/>
    <xf numFmtId="0" fontId="18" fillId="0" borderId="0" xfId="13" applyFont="1" applyAlignment="1"/>
    <xf numFmtId="0" fontId="1" fillId="0" borderId="0" xfId="13" applyFont="1" applyFill="1" applyAlignment="1" applyProtection="1"/>
    <xf numFmtId="0" fontId="1" fillId="7" borderId="0" xfId="13" applyFont="1" applyFill="1" applyAlignment="1" applyProtection="1"/>
    <xf numFmtId="3" fontId="8" fillId="0" borderId="0" xfId="14" applyNumberFormat="1" applyBorder="1" applyAlignment="1" applyProtection="1"/>
    <xf numFmtId="170" fontId="8" fillId="0" borderId="0" xfId="13" applyNumberFormat="1" applyFont="1" applyFill="1" applyAlignment="1" applyProtection="1"/>
    <xf numFmtId="7" fontId="39" fillId="7" borderId="0" xfId="13" applyNumberFormat="1" applyFont="1" applyFill="1" applyAlignment="1" applyProtection="1"/>
    <xf numFmtId="7" fontId="39" fillId="0" borderId="0" xfId="13" applyNumberFormat="1" applyFont="1" applyFill="1" applyAlignment="1" applyProtection="1"/>
    <xf numFmtId="3" fontId="8" fillId="0" borderId="0" xfId="14" applyNumberFormat="1" applyFont="1" applyBorder="1" applyAlignment="1" applyProtection="1"/>
    <xf numFmtId="0" fontId="8" fillId="8" borderId="0" xfId="13" applyFont="1" applyFill="1" applyAlignment="1" applyProtection="1"/>
    <xf numFmtId="176" fontId="8" fillId="8" borderId="0" xfId="13" applyNumberFormat="1" applyFont="1" applyFill="1" applyAlignment="1" applyProtection="1">
      <alignment horizontal="right"/>
    </xf>
    <xf numFmtId="176" fontId="8" fillId="0" borderId="0" xfId="13" applyNumberFormat="1" applyFont="1" applyFill="1" applyAlignment="1" applyProtection="1">
      <alignment horizontal="right"/>
    </xf>
    <xf numFmtId="0" fontId="1" fillId="8" borderId="0" xfId="13" applyFont="1" applyFill="1" applyAlignment="1" applyProtection="1">
      <alignment horizontal="right"/>
    </xf>
    <xf numFmtId="177" fontId="39" fillId="0" borderId="5" xfId="13" applyNumberFormat="1" applyFont="1" applyFill="1" applyBorder="1" applyAlignment="1" applyProtection="1">
      <alignment horizontal="center"/>
      <protection locked="0"/>
    </xf>
    <xf numFmtId="0" fontId="18" fillId="8" borderId="0" xfId="13" applyFont="1" applyFill="1" applyAlignment="1"/>
    <xf numFmtId="0" fontId="1" fillId="8" borderId="0" xfId="13" applyFont="1" applyFill="1" applyAlignment="1"/>
    <xf numFmtId="9" fontId="39" fillId="0" borderId="0" xfId="13" applyNumberFormat="1" applyFont="1" applyBorder="1" applyAlignment="1">
      <alignment horizontal="center"/>
    </xf>
    <xf numFmtId="0" fontId="17" fillId="0" borderId="0" xfId="13" applyFont="1" applyAlignment="1" applyProtection="1">
      <alignment horizontal="right"/>
    </xf>
    <xf numFmtId="177" fontId="39" fillId="8" borderId="0" xfId="13" applyNumberFormat="1" applyFont="1" applyFill="1" applyBorder="1" applyAlignment="1" applyProtection="1">
      <alignment horizontal="center"/>
      <protection locked="0"/>
    </xf>
    <xf numFmtId="0" fontId="8" fillId="0" borderId="0" xfId="13" applyFont="1" applyFill="1" applyAlignment="1" applyProtection="1"/>
    <xf numFmtId="0" fontId="31" fillId="0" borderId="0" xfId="13" applyFont="1" applyAlignment="1" applyProtection="1"/>
    <xf numFmtId="0" fontId="25" fillId="0" borderId="2" xfId="13" applyFont="1" applyFill="1" applyBorder="1" applyAlignment="1" applyProtection="1">
      <alignment horizontal="center"/>
    </xf>
    <xf numFmtId="0" fontId="25" fillId="0" borderId="0" xfId="13" applyFont="1" applyFill="1" applyBorder="1" applyAlignment="1" applyProtection="1">
      <alignment horizontal="center"/>
    </xf>
    <xf numFmtId="0" fontId="25" fillId="0" borderId="0" xfId="13" applyFont="1" applyFill="1" applyAlignment="1" applyProtection="1">
      <alignment horizontal="center"/>
    </xf>
    <xf numFmtId="0" fontId="25" fillId="0" borderId="0" xfId="13" applyFont="1" applyAlignment="1">
      <alignment horizontal="center"/>
    </xf>
    <xf numFmtId="0" fontId="1" fillId="0" borderId="0" xfId="13" applyFont="1" applyAlignment="1">
      <alignment horizontal="right"/>
    </xf>
    <xf numFmtId="7" fontId="8" fillId="0" borderId="0" xfId="13" applyNumberFormat="1" applyFont="1" applyFill="1" applyAlignment="1" applyProtection="1"/>
    <xf numFmtId="0" fontId="1" fillId="0" borderId="0" xfId="13" applyFont="1" applyFill="1" applyAlignment="1">
      <alignment horizontal="right"/>
    </xf>
    <xf numFmtId="178" fontId="8" fillId="0" borderId="0" xfId="13" applyNumberFormat="1" applyFont="1" applyFill="1" applyAlignment="1" applyProtection="1"/>
    <xf numFmtId="0" fontId="8" fillId="0" borderId="0" xfId="13" applyFont="1" applyAlignment="1" applyProtection="1"/>
    <xf numFmtId="0" fontId="4" fillId="0" borderId="0" xfId="13" applyFont="1" applyFill="1" applyAlignment="1" applyProtection="1"/>
    <xf numFmtId="7" fontId="1" fillId="0" borderId="0" xfId="13" applyNumberFormat="1" applyFont="1" applyFill="1" applyAlignment="1" applyProtection="1"/>
    <xf numFmtId="0" fontId="8" fillId="0" borderId="0" xfId="13" applyFont="1" applyFill="1" applyAlignment="1" applyProtection="1">
      <alignment horizontal="left"/>
    </xf>
    <xf numFmtId="166" fontId="8" fillId="0" borderId="0" xfId="13" applyNumberFormat="1" applyFont="1" applyFill="1" applyAlignment="1" applyProtection="1"/>
    <xf numFmtId="3" fontId="8" fillId="0" borderId="0" xfId="14" applyNumberFormat="1" applyFont="1" applyAlignment="1" applyProtection="1"/>
    <xf numFmtId="179" fontId="8" fillId="0" borderId="0" xfId="13" applyNumberFormat="1" applyFont="1" applyFill="1" applyAlignment="1" applyProtection="1"/>
    <xf numFmtId="0" fontId="14" fillId="0" borderId="0" xfId="13" applyFont="1" applyAlignment="1"/>
    <xf numFmtId="170" fontId="1" fillId="9" borderId="6" xfId="13" applyNumberFormat="1" applyFont="1" applyFill="1" applyBorder="1" applyAlignment="1">
      <alignment horizontal="center"/>
    </xf>
    <xf numFmtId="170" fontId="1" fillId="9" borderId="4" xfId="13" applyNumberFormat="1" applyFont="1" applyFill="1" applyBorder="1" applyAlignment="1">
      <alignment horizontal="center"/>
    </xf>
    <xf numFmtId="170" fontId="1" fillId="9" borderId="7" xfId="13" applyNumberFormat="1" applyFont="1" applyFill="1" applyBorder="1" applyAlignment="1">
      <alignment horizontal="center"/>
    </xf>
    <xf numFmtId="3" fontId="1" fillId="0" borderId="0" xfId="14" applyNumberFormat="1" applyFont="1" applyAlignment="1"/>
    <xf numFmtId="3" fontId="8" fillId="0" borderId="0" xfId="14" applyNumberFormat="1" applyFont="1" applyBorder="1" applyAlignment="1" applyProtection="1">
      <alignment horizontal="center"/>
    </xf>
    <xf numFmtId="0" fontId="8" fillId="0" borderId="0" xfId="13" applyFont="1" applyAlignment="1">
      <alignment horizontal="center"/>
    </xf>
    <xf numFmtId="0" fontId="8" fillId="9" borderId="0" xfId="13" applyFont="1" applyFill="1" applyAlignment="1">
      <alignment horizontal="center"/>
    </xf>
    <xf numFmtId="180" fontId="8" fillId="0" borderId="0" xfId="13" applyNumberFormat="1" applyFont="1" applyFill="1" applyAlignment="1">
      <alignment horizontal="center"/>
    </xf>
    <xf numFmtId="180" fontId="8" fillId="9" borderId="0" xfId="13" applyNumberFormat="1" applyFont="1" applyFill="1" applyAlignment="1">
      <alignment horizontal="center"/>
    </xf>
    <xf numFmtId="0" fontId="14" fillId="0" borderId="0" xfId="13" applyFont="1" applyFill="1" applyAlignment="1" applyProtection="1"/>
    <xf numFmtId="0" fontId="8" fillId="0" borderId="0" xfId="13" applyFont="1" applyFill="1" applyAlignment="1"/>
    <xf numFmtId="170" fontId="8" fillId="0" borderId="0" xfId="14" applyFill="1">
      <alignment vertical="top"/>
    </xf>
    <xf numFmtId="0" fontId="14" fillId="0" borderId="0" xfId="13" applyFont="1" applyAlignment="1" applyProtection="1"/>
    <xf numFmtId="170" fontId="8" fillId="0" borderId="0" xfId="15" applyFont="1" applyAlignment="1">
      <alignment vertical="top" wrapText="1"/>
    </xf>
    <xf numFmtId="0" fontId="0" fillId="0" borderId="0" xfId="0" applyFill="1" applyProtection="1">
      <alignment vertical="top"/>
    </xf>
    <xf numFmtId="181" fontId="8" fillId="0" borderId="0" xfId="0" applyNumberFormat="1" applyFont="1" applyFill="1" applyAlignment="1" applyProtection="1">
      <alignment horizontal="right" vertical="top"/>
    </xf>
    <xf numFmtId="0" fontId="0" fillId="0" borderId="0" xfId="0" applyFill="1" applyAlignment="1" applyProtection="1">
      <alignment horizontal="left" vertical="top"/>
    </xf>
    <xf numFmtId="0" fontId="8" fillId="0" borderId="0" xfId="0" applyFont="1" applyFill="1" applyProtection="1">
      <alignment vertical="top"/>
    </xf>
    <xf numFmtId="3" fontId="0" fillId="0" borderId="0" xfId="0" applyNumberFormat="1" applyAlignment="1"/>
    <xf numFmtId="3" fontId="39" fillId="0" borderId="0" xfId="0" applyNumberFormat="1" applyFont="1" applyAlignment="1" applyProtection="1"/>
    <xf numFmtId="183" fontId="5" fillId="0" borderId="0" xfId="8" applyNumberFormat="1">
      <protection locked="0"/>
    </xf>
    <xf numFmtId="171" fontId="5" fillId="0" borderId="0" xfId="8">
      <protection locked="0"/>
    </xf>
    <xf numFmtId="3" fontId="8" fillId="0" borderId="0" xfId="0" applyNumberFormat="1" applyFont="1" applyFill="1" applyAlignment="1" applyProtection="1"/>
    <xf numFmtId="3" fontId="8" fillId="0" borderId="2" xfId="0" applyNumberFormat="1" applyFont="1" applyBorder="1" applyAlignment="1" applyProtection="1"/>
    <xf numFmtId="0" fontId="8" fillId="0" borderId="0" xfId="0" applyFont="1" applyFill="1" applyBorder="1" applyAlignment="1" applyProtection="1"/>
    <xf numFmtId="168" fontId="8" fillId="0" borderId="0" xfId="0" applyNumberFormat="1" applyFont="1" applyFill="1" applyAlignment="1" applyProtection="1"/>
    <xf numFmtId="184" fontId="8" fillId="0" borderId="0" xfId="0" applyNumberFormat="1" applyFont="1" applyFill="1" applyAlignment="1" applyProtection="1"/>
    <xf numFmtId="170" fontId="8" fillId="0" borderId="0" xfId="3" applyNumberFormat="1" applyFill="1"/>
    <xf numFmtId="3" fontId="6" fillId="0" borderId="0" xfId="0" applyNumberFormat="1" applyFont="1" applyFill="1" applyAlignment="1" applyProtection="1"/>
    <xf numFmtId="3" fontId="6" fillId="0" borderId="0" xfId="3" applyNumberFormat="1" applyFont="1" applyFill="1" applyAlignment="1">
      <alignment horizontal="right"/>
    </xf>
    <xf numFmtId="0" fontId="6" fillId="0" borderId="0" xfId="0" applyFont="1" applyFill="1" applyAlignment="1" applyProtection="1"/>
    <xf numFmtId="4" fontId="6" fillId="0" borderId="0" xfId="5" applyNumberFormat="1" applyFont="1" applyFill="1"/>
    <xf numFmtId="170" fontId="8" fillId="0" borderId="0" xfId="0" applyNumberFormat="1" applyFont="1" applyFill="1" applyAlignment="1"/>
    <xf numFmtId="169" fontId="8" fillId="0" borderId="0" xfId="3" applyNumberFormat="1" applyFill="1"/>
    <xf numFmtId="4" fontId="6" fillId="0" borderId="0" xfId="3" applyNumberFormat="1" applyFont="1" applyFill="1"/>
    <xf numFmtId="165" fontId="5" fillId="7" borderId="0" xfId="2" applyFill="1">
      <protection locked="0"/>
    </xf>
    <xf numFmtId="38" fontId="5" fillId="7" borderId="0" xfId="6" applyFill="1">
      <protection locked="0"/>
    </xf>
    <xf numFmtId="3" fontId="8" fillId="7" borderId="0" xfId="0" applyNumberFormat="1" applyFont="1" applyFill="1" applyAlignment="1" applyProtection="1"/>
    <xf numFmtId="5" fontId="0" fillId="7" borderId="0" xfId="0" applyNumberFormat="1" applyFill="1" applyAlignment="1" applyProtection="1"/>
    <xf numFmtId="0" fontId="8" fillId="7" borderId="0" xfId="0" applyFont="1" applyFill="1" applyProtection="1">
      <alignment vertical="top"/>
    </xf>
    <xf numFmtId="164" fontId="0" fillId="7" borderId="0" xfId="0" applyNumberFormat="1" applyFill="1" applyAlignment="1" applyProtection="1"/>
    <xf numFmtId="3" fontId="0" fillId="7" borderId="0" xfId="0" applyNumberFormat="1" applyFill="1" applyAlignment="1"/>
    <xf numFmtId="0" fontId="8" fillId="7" borderId="0" xfId="0" applyFont="1" applyFill="1" applyAlignment="1"/>
    <xf numFmtId="3" fontId="0" fillId="7" borderId="0" xfId="0" applyNumberFormat="1" applyFill="1" applyAlignment="1" applyProtection="1"/>
    <xf numFmtId="166" fontId="8" fillId="0" borderId="0" xfId="11" applyBorder="1" applyAlignment="1">
      <alignment horizontal="center" vertical="justify"/>
    </xf>
    <xf numFmtId="3" fontId="18" fillId="0" borderId="0" xfId="0" applyNumberFormat="1" applyFont="1" applyBorder="1" applyAlignment="1"/>
    <xf numFmtId="179" fontId="1" fillId="0" borderId="0" xfId="3" applyNumberFormat="1" applyFont="1" applyBorder="1" applyAlignment="1">
      <alignment horizontal="right"/>
    </xf>
    <xf numFmtId="3" fontId="8" fillId="0" borderId="2" xfId="0" applyNumberFormat="1" applyFont="1" applyBorder="1" applyAlignment="1"/>
    <xf numFmtId="3" fontId="18" fillId="0" borderId="0" xfId="0" applyNumberFormat="1" applyFont="1" applyFill="1" applyAlignment="1"/>
    <xf numFmtId="3" fontId="8" fillId="0" borderId="0" xfId="0" applyNumberFormat="1" applyFont="1" applyFill="1" applyBorder="1" applyAlignment="1" applyProtection="1"/>
    <xf numFmtId="182" fontId="5" fillId="0" borderId="0" xfId="4" applyNumberFormat="1" applyFill="1" applyProtection="1">
      <protection locked="0"/>
    </xf>
    <xf numFmtId="167" fontId="5" fillId="0" borderId="0" xfId="4" applyFill="1" applyProtection="1">
      <protection locked="0"/>
    </xf>
    <xf numFmtId="170" fontId="5" fillId="0" borderId="0" xfId="4" applyNumberFormat="1" applyFill="1">
      <protection locked="0"/>
    </xf>
    <xf numFmtId="185" fontId="39" fillId="0" borderId="0" xfId="0" applyNumberFormat="1" applyFont="1" applyFill="1" applyAlignment="1" applyProtection="1">
      <protection locked="0"/>
    </xf>
    <xf numFmtId="40" fontId="5" fillId="0" borderId="0" xfId="10" applyFill="1">
      <protection locked="0"/>
    </xf>
    <xf numFmtId="4" fontId="5" fillId="0" borderId="0" xfId="8" applyNumberFormat="1" applyFill="1">
      <protection locked="0"/>
    </xf>
    <xf numFmtId="0" fontId="0" fillId="0" borderId="0" xfId="0" applyBorder="1" applyAlignment="1"/>
    <xf numFmtId="0" fontId="37" fillId="0" borderId="2" xfId="0" applyFont="1" applyBorder="1" applyAlignment="1" applyProtection="1"/>
    <xf numFmtId="0" fontId="38" fillId="0" borderId="2" xfId="0" applyFont="1" applyBorder="1" applyAlignment="1" applyProtection="1">
      <alignment horizontal="right"/>
    </xf>
    <xf numFmtId="170" fontId="18" fillId="0" borderId="0" xfId="15" applyFont="1" applyAlignment="1">
      <alignment horizontal="left" vertical="top" wrapText="1"/>
    </xf>
    <xf numFmtId="170" fontId="25" fillId="0" borderId="0" xfId="15" applyFont="1" applyAlignment="1">
      <alignment horizontal="left" vertical="top" wrapText="1"/>
    </xf>
    <xf numFmtId="5" fontId="27" fillId="0" borderId="0" xfId="0" applyNumberFormat="1" applyFont="1" applyAlignment="1">
      <alignment horizontal="center"/>
    </xf>
    <xf numFmtId="5" fontId="28" fillId="0" borderId="0" xfId="0" applyNumberFormat="1" applyFont="1" applyAlignment="1">
      <alignment horizontal="center"/>
    </xf>
    <xf numFmtId="164" fontId="18" fillId="0" borderId="0" xfId="0" applyNumberFormat="1" applyFont="1" applyAlignment="1">
      <alignment horizontal="left" vertical="top" wrapText="1"/>
    </xf>
    <xf numFmtId="5" fontId="40" fillId="6" borderId="0" xfId="0" applyNumberFormat="1" applyFont="1" applyFill="1" applyBorder="1" applyAlignment="1" applyProtection="1">
      <alignment horizontal="center"/>
    </xf>
    <xf numFmtId="5" fontId="19" fillId="0" borderId="0" xfId="0" applyNumberFormat="1" applyFont="1" applyAlignment="1" applyProtection="1">
      <alignment horizontal="left" vertical="top" wrapText="1"/>
    </xf>
    <xf numFmtId="5" fontId="0" fillId="0" borderId="0" xfId="0" applyNumberFormat="1" applyAlignment="1" applyProtection="1">
      <alignment horizontal="left" vertical="top" wrapText="1"/>
    </xf>
    <xf numFmtId="5" fontId="41" fillId="6" borderId="0" xfId="0" applyNumberFormat="1" applyFont="1" applyFill="1" applyAlignment="1">
      <alignment horizontal="center"/>
    </xf>
    <xf numFmtId="0" fontId="41" fillId="6" borderId="0" xfId="13" applyFont="1" applyFill="1" applyAlignment="1" applyProtection="1">
      <alignment horizontal="center"/>
    </xf>
    <xf numFmtId="0" fontId="1" fillId="0" borderId="6" xfId="13" applyFont="1" applyBorder="1" applyAlignment="1">
      <alignment horizontal="center"/>
    </xf>
    <xf numFmtId="0" fontId="1" fillId="0" borderId="4" xfId="13" applyFont="1" applyBorder="1" applyAlignment="1">
      <alignment horizontal="center"/>
    </xf>
    <xf numFmtId="0" fontId="1" fillId="0" borderId="7" xfId="13" applyFont="1" applyBorder="1" applyAlignment="1">
      <alignment horizontal="center"/>
    </xf>
    <xf numFmtId="170" fontId="0" fillId="0" borderId="0" xfId="15" applyFont="1" applyAlignment="1">
      <alignment horizontal="left" vertical="top" wrapText="1"/>
    </xf>
    <xf numFmtId="170" fontId="8" fillId="0" borderId="0" xfId="15" applyFont="1" applyAlignment="1">
      <alignment horizontal="left" vertical="top" wrapText="1"/>
    </xf>
    <xf numFmtId="5" fontId="41" fillId="6" borderId="0" xfId="0" applyNumberFormat="1" applyFont="1" applyFill="1" applyAlignment="1" applyProtection="1">
      <alignment horizontal="center"/>
    </xf>
    <xf numFmtId="5" fontId="3" fillId="0" borderId="0" xfId="0" applyNumberFormat="1" applyFont="1" applyAlignment="1" applyProtection="1">
      <alignment horizontal="center"/>
    </xf>
    <xf numFmtId="5" fontId="4" fillId="0" borderId="0" xfId="0" applyNumberFormat="1" applyFont="1" applyAlignment="1" applyProtection="1">
      <alignment horizontal="center"/>
    </xf>
    <xf numFmtId="5" fontId="2" fillId="0" borderId="0" xfId="0" applyNumberFormat="1" applyFont="1" applyBorder="1" applyAlignment="1" applyProtection="1">
      <alignment horizontal="center" wrapText="1"/>
    </xf>
    <xf numFmtId="5" fontId="0" fillId="0" borderId="0" xfId="0" applyNumberFormat="1" applyAlignment="1">
      <alignment wrapText="1"/>
    </xf>
    <xf numFmtId="5" fontId="4" fillId="0" borderId="0" xfId="0" applyNumberFormat="1" applyFont="1" applyBorder="1" applyAlignment="1" applyProtection="1"/>
    <xf numFmtId="5" fontId="3" fillId="0" borderId="0" xfId="0" applyNumberFormat="1" applyFont="1" applyBorder="1" applyAlignment="1" applyProtection="1"/>
    <xf numFmtId="5" fontId="3" fillId="0" borderId="0" xfId="0" applyNumberFormat="1" applyFont="1" applyAlignment="1" applyProtection="1"/>
    <xf numFmtId="5" fontId="41" fillId="6" borderId="0" xfId="0" applyNumberFormat="1" applyFont="1" applyFill="1" applyBorder="1" applyAlignment="1" applyProtection="1">
      <alignment horizontal="center"/>
    </xf>
    <xf numFmtId="5" fontId="3" fillId="0" borderId="0" xfId="0" applyNumberFormat="1" applyFont="1" applyBorder="1" applyAlignment="1" applyProtection="1">
      <alignment horizontal="center"/>
    </xf>
    <xf numFmtId="7" fontId="17" fillId="0" borderId="0" xfId="0" applyNumberFormat="1" applyFont="1" applyBorder="1" applyAlignment="1" applyProtection="1">
      <alignment horizontal="center"/>
    </xf>
    <xf numFmtId="5" fontId="18" fillId="0" borderId="0" xfId="0" applyNumberFormat="1" applyFont="1" applyAlignment="1">
      <alignment horizontal="center"/>
    </xf>
    <xf numFmtId="3" fontId="8" fillId="0" borderId="0" xfId="0" applyNumberFormat="1" applyFont="1" applyFill="1" applyAlignment="1" applyProtection="1">
      <alignment horizontal="left" vertical="center" wrapText="1"/>
    </xf>
    <xf numFmtId="4" fontId="41" fillId="6" borderId="0" xfId="0" applyNumberFormat="1" applyFont="1" applyFill="1" applyAlignment="1">
      <alignment horizontal="center"/>
    </xf>
    <xf numFmtId="4" fontId="33" fillId="6" borderId="0" xfId="0" applyNumberFormat="1" applyFont="1" applyFill="1" applyAlignment="1"/>
    <xf numFmtId="3" fontId="35" fillId="6" borderId="0" xfId="0" applyNumberFormat="1" applyFont="1" applyFill="1" applyAlignment="1" applyProtection="1">
      <alignment horizontal="center" vertical="center"/>
    </xf>
    <xf numFmtId="5" fontId="42" fillId="6" borderId="0" xfId="0" applyNumberFormat="1" applyFont="1" applyFill="1" applyAlignment="1">
      <alignment horizontal="center"/>
    </xf>
    <xf numFmtId="5" fontId="34" fillId="6" borderId="0" xfId="0" applyNumberFormat="1" applyFont="1" applyFill="1" applyAlignment="1"/>
  </cellXfs>
  <cellStyles count="27">
    <cellStyle name="Curr ($1,234) L Black" xfId="1"/>
    <cellStyle name="Curr ($1,234) U Blue" xfId="2"/>
    <cellStyle name="Curr ($1,234.00) L Black" xfId="3"/>
    <cellStyle name="Curr ($1,234.00) U Blue" xfId="4"/>
    <cellStyle name="Curr (1,234) L Black" xfId="5"/>
    <cellStyle name="Curr (1,234) U Blue" xfId="6"/>
    <cellStyle name="Curr (1,234.0) L Black" xfId="7"/>
    <cellStyle name="Curr (1,234.0) U Blue" xfId="8"/>
    <cellStyle name="Curr (1,234.00) L Black" xfId="9"/>
    <cellStyle name="Curr (1,234.00) U Blue" xfId="10"/>
    <cellStyle name="Currency 3" xfId="11"/>
    <cellStyle name="Hyperlink" xfId="12" builtinId="8"/>
    <cellStyle name="Normal" xfId="0" builtinId="0"/>
    <cellStyle name="Normal 3" xfId="13"/>
    <cellStyle name="Normal 4 2" xfId="14"/>
    <cellStyle name="Normal_Farrow-Wean 500" xfId="15"/>
    <cellStyle name="Num (1,234) L Black" xfId="16"/>
    <cellStyle name="Num (1,234) U Blue" xfId="17"/>
    <cellStyle name="Num (1,234.0) L Black" xfId="18"/>
    <cellStyle name="Num (1,234.0) U Blue" xfId="19"/>
    <cellStyle name="Num (1,234.10) L Black" xfId="20"/>
    <cellStyle name="Num (1,234.10) U Blue" xfId="21"/>
    <cellStyle name="Percent 00.00% L Black" xfId="22"/>
    <cellStyle name="Percent 00.00% U Blue" xfId="23"/>
    <cellStyle name="Standard_Anpassen der Amortisation" xfId="24"/>
    <cellStyle name="Währung [0]_Compiling Utility Macros" xfId="25"/>
    <cellStyle name="Währung_Compiling Utility Macros"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production-economics/cost-of-production.html" TargetMode="External"/><Relationship Id="rId2" Type="http://schemas.openxmlformats.org/officeDocument/2006/relationships/hyperlink" Target="https://www.gov.mb.ca/agriculture/farm-management/production-economics/machinery-costs.html" TargetMode="External"/><Relationship Id="rId1" Type="http://schemas.openxmlformats.org/officeDocument/2006/relationships/image" Target="../media/image1.jpe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gov.mb.ca/agriculture/farm-management/farm-business-management-contacts.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295275</xdr:colOff>
      <xdr:row>0</xdr:row>
      <xdr:rowOff>85725</xdr:rowOff>
    </xdr:from>
    <xdr:to>
      <xdr:col>9</xdr:col>
      <xdr:colOff>447675</xdr:colOff>
      <xdr:row>2</xdr:row>
      <xdr:rowOff>28575</xdr:rowOff>
    </xdr:to>
    <xdr:pic>
      <xdr:nvPicPr>
        <xdr:cNvPr id="3458"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85725"/>
          <a:ext cx="15430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42</xdr:row>
      <xdr:rowOff>0</xdr:rowOff>
    </xdr:from>
    <xdr:to>
      <xdr:col>6</xdr:col>
      <xdr:colOff>647700</xdr:colOff>
      <xdr:row>43</xdr:row>
      <xdr:rowOff>38099</xdr:rowOff>
    </xdr:to>
    <xdr:sp macro="" textlink="">
      <xdr:nvSpPr>
        <xdr:cNvPr id="6" name="TextBox 5">
          <a:hlinkClick xmlns:r="http://schemas.openxmlformats.org/officeDocument/2006/relationships" r:id="rId2" tooltip="Click here for Farm Machinery Custom and Rental Rate Guide"/>
        </xdr:cNvPr>
        <xdr:cNvSpPr txBox="1"/>
      </xdr:nvSpPr>
      <xdr:spPr>
        <a:xfrm>
          <a:off x="495300" y="8181975"/>
          <a:ext cx="4457700" cy="29527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Custom and Rental Rate Guide</a:t>
          </a:r>
          <a:endParaRPr lang="en-CA" sz="1400" b="0" i="1" u="none" baseline="0">
            <a:solidFill>
              <a:sysClr val="windowText" lastClr="000000"/>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1</xdr:col>
          <xdr:colOff>38100</xdr:colOff>
          <xdr:row>9</xdr:row>
          <xdr:rowOff>127000</xdr:rowOff>
        </xdr:from>
        <xdr:to>
          <xdr:col>2</xdr:col>
          <xdr:colOff>209550</xdr:colOff>
          <xdr:row>11</xdr:row>
          <xdr:rowOff>69850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CA" sz="1000" b="1" i="0" u="none" strike="noStrike" baseline="0">
                  <a:solidFill>
                    <a:srgbClr val="0000FF"/>
                  </a:solidFill>
                  <a:latin typeface="Arial"/>
                  <a:cs typeface="Arial"/>
                </a:rPr>
                <a:t>Print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266700</xdr:colOff>
          <xdr:row>9</xdr:row>
          <xdr:rowOff>127000</xdr:rowOff>
        </xdr:from>
        <xdr:to>
          <xdr:col>3</xdr:col>
          <xdr:colOff>450850</xdr:colOff>
          <xdr:row>11</xdr:row>
          <xdr:rowOff>69850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CA" sz="1000" b="1" i="0" u="none" strike="noStrike" baseline="0">
                  <a:solidFill>
                    <a:srgbClr val="0000FF"/>
                  </a:solidFill>
                  <a:latin typeface="Arial"/>
                  <a:cs typeface="Arial"/>
                </a:rPr>
                <a:t>Print Summary</a:t>
              </a:r>
            </a:p>
          </xdr:txBody>
        </xdr:sp>
        <xdr:clientData fPrintsWithSheet="0"/>
      </xdr:twoCellAnchor>
    </mc:Choice>
    <mc:Fallback/>
  </mc:AlternateContent>
  <xdr:twoCellAnchor editAs="oneCell">
    <xdr:from>
      <xdr:col>4</xdr:col>
      <xdr:colOff>428625</xdr:colOff>
      <xdr:row>36</xdr:row>
      <xdr:rowOff>47625</xdr:rowOff>
    </xdr:from>
    <xdr:to>
      <xdr:col>6</xdr:col>
      <xdr:colOff>95250</xdr:colOff>
      <xdr:row>41</xdr:row>
      <xdr:rowOff>95250</xdr:rowOff>
    </xdr:to>
    <xdr:pic>
      <xdr:nvPicPr>
        <xdr:cNvPr id="9" name="Picture 1">
          <a:hlinkClick xmlns:r="http://schemas.openxmlformats.org/officeDocument/2006/relationships" r:id="rId3" tooltip="Click here for list of Cost of Production Guide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9925" y="7762875"/>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82</xdr:row>
      <xdr:rowOff>95250</xdr:rowOff>
    </xdr:from>
    <xdr:to>
      <xdr:col>8</xdr:col>
      <xdr:colOff>19050</xdr:colOff>
      <xdr:row>86</xdr:row>
      <xdr:rowOff>76200</xdr:rowOff>
    </xdr:to>
    <xdr:pic>
      <xdr:nvPicPr>
        <xdr:cNvPr id="6" name="Picture 6">
          <a:hlinkClick xmlns:r="http://schemas.openxmlformats.org/officeDocument/2006/relationships" r:id="rId1" tooltip="Click here for a list of Farm Management contacts."/>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225" y="16430625"/>
          <a:ext cx="40005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695325</xdr:colOff>
      <xdr:row>40</xdr:row>
      <xdr:rowOff>114300</xdr:rowOff>
    </xdr:to>
    <xdr:pic>
      <xdr:nvPicPr>
        <xdr:cNvPr id="523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6029325" cy="7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K48"/>
  <sheetViews>
    <sheetView showGridLines="0" tabSelected="1" showOutlineSymbols="0" zoomScaleNormal="100" workbookViewId="0"/>
  </sheetViews>
  <sheetFormatPr defaultRowHeight="15.5" x14ac:dyDescent="0.35"/>
  <cols>
    <col min="1" max="1" width="5.765625" customWidth="1"/>
    <col min="7" max="7" width="9.07421875" customWidth="1"/>
    <col min="8" max="8" width="9.69140625" customWidth="1"/>
    <col min="9" max="9" width="6.53515625" customWidth="1"/>
  </cols>
  <sheetData>
    <row r="1" spans="1:11" s="158" customFormat="1" x14ac:dyDescent="0.35"/>
    <row r="2" spans="1:11" s="158" customFormat="1" x14ac:dyDescent="0.35">
      <c r="A2" s="159"/>
      <c r="B2" s="159"/>
      <c r="C2" s="159"/>
      <c r="D2" s="159"/>
      <c r="E2" s="159"/>
      <c r="F2" s="159"/>
      <c r="G2" s="159"/>
      <c r="H2" s="159"/>
      <c r="I2" s="159"/>
      <c r="J2" s="159"/>
    </row>
    <row r="3" spans="1:11" s="162" customFormat="1" ht="27.5" x14ac:dyDescent="0.35">
      <c r="A3" s="160" t="s">
        <v>287</v>
      </c>
      <c r="B3" s="161"/>
      <c r="C3" s="161"/>
      <c r="D3" s="161"/>
      <c r="E3" s="161"/>
      <c r="F3" s="161"/>
      <c r="G3" s="161"/>
      <c r="H3" s="161"/>
      <c r="I3" s="161"/>
      <c r="J3" s="161"/>
    </row>
    <row r="4" spans="1:11" s="162" customFormat="1" ht="15" customHeight="1" x14ac:dyDescent="0.35">
      <c r="A4" s="160"/>
      <c r="B4" s="161"/>
      <c r="C4" s="161"/>
      <c r="D4" s="161"/>
      <c r="E4" s="161"/>
      <c r="F4" s="161"/>
      <c r="G4" s="161"/>
      <c r="H4" s="161"/>
      <c r="I4" s="161"/>
      <c r="J4" s="161"/>
    </row>
    <row r="5" spans="1:11" ht="20" x14ac:dyDescent="0.4">
      <c r="A5" s="331" t="s">
        <v>247</v>
      </c>
      <c r="B5" s="331"/>
      <c r="C5" s="331"/>
      <c r="D5" s="331"/>
      <c r="E5" s="331"/>
      <c r="F5" s="331"/>
      <c r="G5" s="331"/>
      <c r="H5" s="331"/>
      <c r="I5" s="331"/>
      <c r="J5" s="331"/>
      <c r="K5" s="331"/>
    </row>
    <row r="6" spans="1:11" ht="25" x14ac:dyDescent="0.5">
      <c r="A6" s="332" t="s">
        <v>282</v>
      </c>
      <c r="B6" s="332"/>
      <c r="C6" s="332"/>
      <c r="D6" s="332"/>
      <c r="E6" s="332"/>
      <c r="F6" s="332"/>
      <c r="G6" s="332"/>
      <c r="H6" s="332"/>
      <c r="I6" s="332"/>
      <c r="J6" s="332"/>
      <c r="K6" s="332"/>
    </row>
    <row r="7" spans="1:11" ht="20" x14ac:dyDescent="0.4">
      <c r="A7" s="331" t="str">
        <f>"For Weight Range of "&amp;Input!D15&amp;" - "&amp;Input!D17&amp;" lbs."</f>
        <v>For Weight Range of 650 - 1400 lbs.</v>
      </c>
      <c r="B7" s="331"/>
      <c r="C7" s="331"/>
      <c r="D7" s="331"/>
      <c r="E7" s="331"/>
      <c r="F7" s="331"/>
      <c r="G7" s="331"/>
      <c r="H7" s="331"/>
      <c r="I7" s="331"/>
      <c r="J7" s="331"/>
      <c r="K7" s="331"/>
    </row>
    <row r="8" spans="1:11" ht="20" x14ac:dyDescent="0.4">
      <c r="A8" s="331" t="str">
        <f>"Based on feeding "&amp;Input!D13&amp;" Steers"</f>
        <v>Based on feeding 500 Steers</v>
      </c>
      <c r="B8" s="331"/>
      <c r="C8" s="331"/>
      <c r="D8" s="331"/>
      <c r="E8" s="331"/>
      <c r="F8" s="331"/>
      <c r="G8" s="331"/>
      <c r="H8" s="331"/>
      <c r="I8" s="331"/>
      <c r="J8" s="331"/>
      <c r="K8" s="331"/>
    </row>
    <row r="11" spans="1:11" ht="9" customHeight="1" x14ac:dyDescent="0.35"/>
    <row r="12" spans="1:11" x14ac:dyDescent="0.35">
      <c r="H12" s="157" t="s">
        <v>246</v>
      </c>
      <c r="J12" s="157" t="s">
        <v>360</v>
      </c>
    </row>
    <row r="13" spans="1:11" x14ac:dyDescent="0.35">
      <c r="J13" s="210"/>
    </row>
    <row r="14" spans="1:11" x14ac:dyDescent="0.35">
      <c r="B14" s="125"/>
      <c r="C14" s="125"/>
      <c r="D14" s="125"/>
      <c r="E14" s="125"/>
      <c r="F14" s="125"/>
      <c r="G14" s="125"/>
      <c r="H14" s="125"/>
      <c r="I14" s="125"/>
    </row>
    <row r="16" spans="1:11" s="163" customFormat="1" ht="15" customHeight="1" x14ac:dyDescent="0.35">
      <c r="B16" s="329" t="s">
        <v>358</v>
      </c>
      <c r="C16" s="329"/>
      <c r="D16" s="329"/>
      <c r="E16" s="329"/>
      <c r="F16" s="329"/>
      <c r="G16" s="329"/>
      <c r="H16" s="329"/>
      <c r="I16" s="329"/>
      <c r="J16" s="329"/>
      <c r="K16" s="329"/>
    </row>
    <row r="17" spans="2:11" s="163" customFormat="1" ht="15" customHeight="1" x14ac:dyDescent="0.35">
      <c r="B17" s="329"/>
      <c r="C17" s="329"/>
      <c r="D17" s="329"/>
      <c r="E17" s="329"/>
      <c r="F17" s="329"/>
      <c r="G17" s="329"/>
      <c r="H17" s="329"/>
      <c r="I17" s="329"/>
      <c r="J17" s="329"/>
      <c r="K17" s="329"/>
    </row>
    <row r="18" spans="2:11" s="163" customFormat="1" ht="18.75" customHeight="1" x14ac:dyDescent="0.35">
      <c r="B18" s="329"/>
      <c r="C18" s="329"/>
      <c r="D18" s="329"/>
      <c r="E18" s="329"/>
      <c r="F18" s="329"/>
      <c r="G18" s="329"/>
      <c r="H18" s="329"/>
      <c r="I18" s="329"/>
      <c r="J18" s="329"/>
      <c r="K18" s="329"/>
    </row>
    <row r="19" spans="2:11" s="163" customFormat="1" ht="18.75" customHeight="1" x14ac:dyDescent="0.35">
      <c r="B19" s="329"/>
      <c r="C19" s="329"/>
      <c r="D19" s="329"/>
      <c r="E19" s="329"/>
      <c r="F19" s="329"/>
      <c r="G19" s="329"/>
      <c r="H19" s="329"/>
      <c r="I19" s="329"/>
      <c r="J19" s="329"/>
      <c r="K19" s="329"/>
    </row>
    <row r="20" spans="2:11" s="163" customFormat="1" ht="18.75" customHeight="1" x14ac:dyDescent="0.35">
      <c r="B20" s="329"/>
      <c r="C20" s="329"/>
      <c r="D20" s="329"/>
      <c r="E20" s="329"/>
      <c r="F20" s="329"/>
      <c r="G20" s="329"/>
      <c r="H20" s="329"/>
      <c r="I20" s="329"/>
      <c r="J20" s="329"/>
      <c r="K20" s="329"/>
    </row>
    <row r="21" spans="2:11" s="163" customFormat="1" ht="18.75" customHeight="1" x14ac:dyDescent="0.35">
      <c r="B21" s="329"/>
      <c r="C21" s="329"/>
      <c r="D21" s="329"/>
      <c r="E21" s="329"/>
      <c r="F21" s="329"/>
      <c r="G21" s="329"/>
      <c r="H21" s="329"/>
      <c r="I21" s="329"/>
      <c r="J21" s="329"/>
      <c r="K21" s="329"/>
    </row>
    <row r="22" spans="2:11" s="163" customFormat="1" ht="18.75" customHeight="1" x14ac:dyDescent="0.35">
      <c r="B22" s="329"/>
      <c r="C22" s="329"/>
      <c r="D22" s="329"/>
      <c r="E22" s="329"/>
      <c r="F22" s="329"/>
      <c r="G22" s="329"/>
      <c r="H22" s="329"/>
      <c r="I22" s="329"/>
      <c r="J22" s="329"/>
      <c r="K22" s="329"/>
    </row>
    <row r="23" spans="2:11" s="163" customFormat="1" ht="17.5" x14ac:dyDescent="0.35">
      <c r="B23" s="164"/>
      <c r="C23" s="164"/>
      <c r="D23" s="164"/>
      <c r="E23" s="164"/>
      <c r="F23" s="164"/>
      <c r="G23" s="164"/>
      <c r="H23" s="164"/>
      <c r="I23" s="164"/>
    </row>
    <row r="24" spans="2:11" s="165" customFormat="1" ht="15" customHeight="1" x14ac:dyDescent="0.35">
      <c r="B24" s="333" t="s">
        <v>260</v>
      </c>
      <c r="C24" s="333"/>
      <c r="D24" s="333"/>
      <c r="E24" s="333"/>
      <c r="F24" s="333"/>
      <c r="G24" s="333"/>
      <c r="H24" s="333"/>
      <c r="I24" s="333"/>
      <c r="J24" s="333"/>
      <c r="K24" s="333"/>
    </row>
    <row r="25" spans="2:11" s="165" customFormat="1" ht="15" customHeight="1" x14ac:dyDescent="0.35">
      <c r="B25" s="333"/>
      <c r="C25" s="333"/>
      <c r="D25" s="333"/>
      <c r="E25" s="333"/>
      <c r="F25" s="333"/>
      <c r="G25" s="333"/>
      <c r="H25" s="333"/>
      <c r="I25" s="333"/>
      <c r="J25" s="333"/>
      <c r="K25" s="333"/>
    </row>
    <row r="26" spans="2:11" s="165" customFormat="1" ht="15" customHeight="1" x14ac:dyDescent="0.35">
      <c r="B26" s="333"/>
      <c r="C26" s="333"/>
      <c r="D26" s="333"/>
      <c r="E26" s="333"/>
      <c r="F26" s="333"/>
      <c r="G26" s="333"/>
      <c r="H26" s="333"/>
      <c r="I26" s="333"/>
      <c r="J26" s="333"/>
      <c r="K26" s="333"/>
    </row>
    <row r="27" spans="2:11" s="165" customFormat="1" ht="15" customHeight="1" x14ac:dyDescent="0.35">
      <c r="B27" s="333"/>
      <c r="C27" s="333"/>
      <c r="D27" s="333"/>
      <c r="E27" s="333"/>
      <c r="F27" s="333"/>
      <c r="G27" s="333"/>
      <c r="H27" s="333"/>
      <c r="I27" s="333"/>
      <c r="J27" s="333"/>
      <c r="K27" s="333"/>
    </row>
    <row r="28" spans="2:11" s="165" customFormat="1" ht="19.5" customHeight="1" x14ac:dyDescent="0.35">
      <c r="B28" s="333"/>
      <c r="C28" s="333"/>
      <c r="D28" s="333"/>
      <c r="E28" s="333"/>
      <c r="F28" s="333"/>
      <c r="G28" s="333"/>
      <c r="H28" s="333"/>
      <c r="I28" s="333"/>
      <c r="J28" s="333"/>
      <c r="K28" s="333"/>
    </row>
    <row r="29" spans="2:11" s="165" customFormat="1" ht="19.5" customHeight="1" x14ac:dyDescent="0.35">
      <c r="B29" s="166"/>
      <c r="C29" s="166"/>
      <c r="D29" s="166"/>
      <c r="E29" s="166"/>
      <c r="F29" s="166"/>
      <c r="G29" s="166"/>
      <c r="H29" s="166"/>
      <c r="I29" s="166"/>
    </row>
    <row r="30" spans="2:11" s="163" customFormat="1" ht="15" customHeight="1" x14ac:dyDescent="0.35">
      <c r="B30" s="329" t="s">
        <v>293</v>
      </c>
      <c r="C30" s="329"/>
      <c r="D30" s="329"/>
      <c r="E30" s="329"/>
      <c r="F30" s="329"/>
      <c r="G30" s="329"/>
      <c r="H30" s="329"/>
      <c r="I30" s="329"/>
      <c r="J30" s="329"/>
      <c r="K30" s="329"/>
    </row>
    <row r="31" spans="2:11" s="163" customFormat="1" ht="15" customHeight="1" x14ac:dyDescent="0.35">
      <c r="B31" s="329"/>
      <c r="C31" s="329"/>
      <c r="D31" s="329"/>
      <c r="E31" s="329"/>
      <c r="F31" s="329"/>
      <c r="G31" s="329"/>
      <c r="H31" s="329"/>
      <c r="I31" s="329"/>
      <c r="J31" s="329"/>
      <c r="K31" s="329"/>
    </row>
    <row r="32" spans="2:11" s="163" customFormat="1" ht="15" customHeight="1" x14ac:dyDescent="0.35">
      <c r="B32" s="329"/>
      <c r="C32" s="329"/>
      <c r="D32" s="329"/>
      <c r="E32" s="329"/>
      <c r="F32" s="329"/>
      <c r="G32" s="329"/>
      <c r="H32" s="329"/>
      <c r="I32" s="329"/>
      <c r="J32" s="329"/>
      <c r="K32" s="329"/>
    </row>
    <row r="33" spans="2:11" s="163" customFormat="1" ht="15" customHeight="1" x14ac:dyDescent="0.35">
      <c r="B33" s="329"/>
      <c r="C33" s="329"/>
      <c r="D33" s="329"/>
      <c r="E33" s="329"/>
      <c r="F33" s="329"/>
      <c r="G33" s="329"/>
      <c r="H33" s="329"/>
      <c r="I33" s="329"/>
      <c r="J33" s="329"/>
      <c r="K33" s="329"/>
    </row>
    <row r="34" spans="2:11" s="163" customFormat="1" ht="15" customHeight="1" x14ac:dyDescent="0.35">
      <c r="B34" s="329"/>
      <c r="C34" s="329"/>
      <c r="D34" s="329"/>
      <c r="E34" s="329"/>
      <c r="F34" s="329"/>
      <c r="G34" s="329"/>
      <c r="H34" s="329"/>
      <c r="I34" s="329"/>
      <c r="J34" s="329"/>
      <c r="K34" s="329"/>
    </row>
    <row r="35" spans="2:11" s="163" customFormat="1" ht="15" customHeight="1" x14ac:dyDescent="0.35">
      <c r="B35" s="211"/>
      <c r="C35" s="211"/>
      <c r="D35" s="211"/>
      <c r="E35" s="211"/>
      <c r="F35" s="211"/>
      <c r="G35" s="211"/>
      <c r="H35" s="211"/>
      <c r="I35" s="211"/>
      <c r="J35" s="211"/>
      <c r="K35" s="211"/>
    </row>
    <row r="36" spans="2:11" s="158" customFormat="1" ht="18" customHeight="1" x14ac:dyDescent="0.35">
      <c r="B36" s="197" t="s">
        <v>294</v>
      </c>
      <c r="C36" s="197"/>
      <c r="D36" s="197"/>
      <c r="E36" s="197"/>
      <c r="F36" s="197"/>
      <c r="G36" s="197"/>
      <c r="H36" s="197"/>
      <c r="I36" s="197"/>
      <c r="J36" s="197"/>
    </row>
    <row r="37" spans="2:11" s="158" customFormat="1" ht="18" customHeight="1" x14ac:dyDescent="0.35">
      <c r="B37" s="197"/>
      <c r="C37" s="197"/>
      <c r="D37" s="197"/>
      <c r="E37" s="197"/>
      <c r="F37" s="197"/>
      <c r="G37" s="197"/>
      <c r="H37" s="197"/>
      <c r="I37" s="197"/>
      <c r="J37" s="197"/>
    </row>
    <row r="38" spans="2:11" s="158" customFormat="1" ht="18" customHeight="1" x14ac:dyDescent="0.35">
      <c r="B38" s="197"/>
      <c r="C38" s="197"/>
      <c r="D38" s="197"/>
      <c r="E38" s="197"/>
      <c r="F38" s="197"/>
      <c r="G38" s="197"/>
      <c r="H38" s="197"/>
      <c r="I38" s="197"/>
      <c r="J38" s="197"/>
    </row>
    <row r="39" spans="2:11" s="158" customFormat="1" ht="18" customHeight="1" x14ac:dyDescent="0.35">
      <c r="B39" s="197"/>
      <c r="C39" s="197"/>
      <c r="D39" s="197"/>
      <c r="E39" s="197"/>
      <c r="F39" s="197"/>
      <c r="G39" s="197"/>
      <c r="H39" s="197"/>
      <c r="I39" s="197"/>
      <c r="J39" s="197"/>
    </row>
    <row r="40" spans="2:11" s="158" customFormat="1" ht="18" customHeight="1" x14ac:dyDescent="0.35">
      <c r="B40" s="197"/>
      <c r="C40" s="197"/>
      <c r="D40" s="197"/>
      <c r="E40" s="197"/>
      <c r="F40" s="197"/>
      <c r="G40" s="197"/>
      <c r="H40" s="197"/>
      <c r="I40" s="197"/>
      <c r="J40" s="197"/>
    </row>
    <row r="41" spans="2:11" s="158" customFormat="1" ht="18" customHeight="1" x14ac:dyDescent="0.35">
      <c r="B41" s="197"/>
      <c r="C41" s="197"/>
      <c r="D41" s="197"/>
      <c r="E41" s="197"/>
      <c r="F41" s="197"/>
      <c r="G41" s="197"/>
      <c r="H41" s="197"/>
      <c r="I41" s="197"/>
      <c r="J41" s="197"/>
    </row>
    <row r="42" spans="2:11" s="158" customFormat="1" ht="18" customHeight="1" x14ac:dyDescent="0.35">
      <c r="B42" s="197"/>
      <c r="C42" s="197"/>
      <c r="D42" s="197"/>
      <c r="E42" s="197"/>
      <c r="F42" s="197"/>
      <c r="G42" s="197"/>
      <c r="H42" s="197"/>
      <c r="I42" s="197"/>
      <c r="J42" s="197"/>
    </row>
    <row r="43" spans="2:11" s="158" customFormat="1" ht="18" customHeight="1" x14ac:dyDescent="0.35">
      <c r="B43" s="197" t="s">
        <v>298</v>
      </c>
      <c r="C43" s="196"/>
      <c r="D43" s="196"/>
      <c r="E43" s="196"/>
      <c r="F43" s="196"/>
      <c r="I43" s="196"/>
      <c r="J43" s="196"/>
    </row>
    <row r="44" spans="2:11" s="163" customFormat="1" ht="18" customHeight="1" x14ac:dyDescent="0.35">
      <c r="B44" s="197" t="s">
        <v>297</v>
      </c>
      <c r="C44" s="164"/>
      <c r="D44" s="164"/>
      <c r="E44" s="164"/>
      <c r="F44" s="164"/>
      <c r="G44" s="164"/>
      <c r="H44" s="164"/>
      <c r="I44" s="164"/>
    </row>
    <row r="45" spans="2:11" s="163" customFormat="1" ht="15" customHeight="1" x14ac:dyDescent="0.35">
      <c r="B45" s="164"/>
      <c r="C45" s="164"/>
      <c r="D45" s="164"/>
      <c r="E45" s="164"/>
      <c r="F45" s="164"/>
      <c r="G45" s="164"/>
      <c r="H45" s="164"/>
      <c r="I45" s="164"/>
    </row>
    <row r="46" spans="2:11" s="158" customFormat="1" ht="18" customHeight="1" x14ac:dyDescent="0.35">
      <c r="B46" s="330" t="s">
        <v>359</v>
      </c>
      <c r="C46" s="330"/>
      <c r="D46" s="330"/>
      <c r="E46" s="330"/>
      <c r="F46" s="330"/>
      <c r="G46" s="330"/>
      <c r="H46" s="330"/>
      <c r="I46" s="330"/>
      <c r="J46" s="330"/>
      <c r="K46" s="330"/>
    </row>
    <row r="47" spans="2:11" s="158" customFormat="1" ht="18" customHeight="1" x14ac:dyDescent="0.35">
      <c r="B47" s="330"/>
      <c r="C47" s="330"/>
      <c r="D47" s="330"/>
      <c r="E47" s="330"/>
      <c r="F47" s="330"/>
      <c r="G47" s="330"/>
      <c r="H47" s="330"/>
      <c r="I47" s="330"/>
      <c r="J47" s="330"/>
      <c r="K47" s="330"/>
    </row>
    <row r="48" spans="2:11" s="158" customFormat="1" ht="18" customHeight="1" x14ac:dyDescent="0.35">
      <c r="B48" s="330"/>
      <c r="C48" s="330"/>
      <c r="D48" s="330"/>
      <c r="E48" s="330"/>
      <c r="F48" s="330"/>
      <c r="G48" s="330"/>
      <c r="H48" s="330"/>
      <c r="I48" s="330"/>
      <c r="J48" s="330"/>
      <c r="K48" s="330"/>
    </row>
  </sheetData>
  <sheetProtection password="C6A6" sheet="1" objects="1" scenarios="1"/>
  <mergeCells count="8">
    <mergeCell ref="B30:K34"/>
    <mergeCell ref="B46:K48"/>
    <mergeCell ref="A5:K5"/>
    <mergeCell ref="A6:K6"/>
    <mergeCell ref="A7:K7"/>
    <mergeCell ref="A8:K8"/>
    <mergeCell ref="B16:K22"/>
    <mergeCell ref="B24:K28"/>
  </mergeCells>
  <phoneticPr fontId="0" type="noConversion"/>
  <pageMargins left="0.74803149606299213" right="0.74803149606299213" top="0.62992125984251968" bottom="0.98425196850393704" header="0.43307086614173229" footer="0.51181102362204722"/>
  <pageSetup scale="83" orientation="portrait" horizontalDpi="18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printall">
                <anchor moveWithCells="1" sizeWithCells="1">
                  <from>
                    <xdr:col>1</xdr:col>
                    <xdr:colOff>38100</xdr:colOff>
                    <xdr:row>9</xdr:row>
                    <xdr:rowOff>127000</xdr:rowOff>
                  </from>
                  <to>
                    <xdr:col>2</xdr:col>
                    <xdr:colOff>209550</xdr:colOff>
                    <xdr:row>11</xdr:row>
                    <xdr:rowOff>69850</xdr:rowOff>
                  </to>
                </anchor>
              </controlPr>
            </control>
          </mc:Choice>
        </mc:AlternateContent>
        <mc:AlternateContent xmlns:mc="http://schemas.openxmlformats.org/markup-compatibility/2006">
          <mc:Choice Requires="x14">
            <control shapeId="3074" r:id="rId5" name="Button 2">
              <controlPr defaultSize="0" print="0" autoFill="0" autoPict="0" macro="[0]!PrintSummaryFeedlot">
                <anchor moveWithCells="1" sizeWithCells="1">
                  <from>
                    <xdr:col>2</xdr:col>
                    <xdr:colOff>266700</xdr:colOff>
                    <xdr:row>9</xdr:row>
                    <xdr:rowOff>127000</xdr:rowOff>
                  </from>
                  <to>
                    <xdr:col>3</xdr:col>
                    <xdr:colOff>450850</xdr:colOff>
                    <xdr:row>11</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64"/>
  <sheetViews>
    <sheetView showGridLines="0" zoomScaleNormal="100" workbookViewId="0">
      <selection sqref="A1:J1"/>
    </sheetView>
  </sheetViews>
  <sheetFormatPr defaultColWidth="8.84375" defaultRowHeight="15.5" x14ac:dyDescent="0.35"/>
  <cols>
    <col min="1" max="3" width="8.84375" style="34"/>
    <col min="4" max="4" width="2.69140625" style="34" customWidth="1"/>
    <col min="5" max="5" width="6.765625" style="34" customWidth="1"/>
    <col min="6" max="6" width="13.84375" style="34" customWidth="1"/>
    <col min="7" max="7" width="6.53515625" style="34" customWidth="1"/>
    <col min="8" max="8" width="12.765625" style="34" customWidth="1"/>
    <col min="9" max="9" width="3.23046875" style="34" customWidth="1"/>
    <col min="10" max="10" width="9.3046875" style="34" customWidth="1"/>
    <col min="11" max="16384" width="8.84375" style="34"/>
  </cols>
  <sheetData>
    <row r="1" spans="1:10" ht="18" customHeight="1" x14ac:dyDescent="0.4">
      <c r="A1" s="334" t="str">
        <f>"Feedlot Finishing Cost Summary  " &amp; Introduction!J12</f>
        <v>Feedlot Finishing Cost Summary  September, 2023</v>
      </c>
      <c r="B1" s="334"/>
      <c r="C1" s="334"/>
      <c r="D1" s="334"/>
      <c r="E1" s="334"/>
      <c r="F1" s="334"/>
      <c r="G1" s="334"/>
      <c r="H1" s="334"/>
      <c r="I1" s="334"/>
      <c r="J1" s="334"/>
    </row>
    <row r="2" spans="1:10" ht="18" customHeight="1" x14ac:dyDescent="0.4">
      <c r="A2" s="337" t="str">
        <f>"Based on feeding "&amp;Input!D13&amp;" steers for weight range "&amp;Input!D15&amp;" to "&amp;Input!D17&amp;" lbs."</f>
        <v>Based on feeding 500 steers for weight range 650 to 1400 lbs.</v>
      </c>
      <c r="B2" s="337"/>
      <c r="C2" s="337"/>
      <c r="D2" s="337"/>
      <c r="E2" s="337"/>
      <c r="F2" s="337"/>
      <c r="G2" s="337"/>
      <c r="H2" s="337"/>
      <c r="I2" s="337"/>
      <c r="J2" s="337"/>
    </row>
    <row r="3" spans="1:10" ht="8.25" customHeight="1" x14ac:dyDescent="0.4">
      <c r="A3" s="130"/>
      <c r="B3" s="130"/>
      <c r="C3" s="130"/>
      <c r="D3" s="130"/>
      <c r="E3" s="130"/>
      <c r="F3" s="130"/>
      <c r="G3" s="130"/>
      <c r="H3" s="130"/>
      <c r="I3" s="130"/>
      <c r="J3" s="130"/>
    </row>
    <row r="4" spans="1:10" x14ac:dyDescent="0.35">
      <c r="A4" s="45"/>
      <c r="B4" s="45"/>
      <c r="C4" s="45"/>
      <c r="D4" s="45"/>
      <c r="E4" s="45"/>
      <c r="F4" s="90" t="s">
        <v>42</v>
      </c>
      <c r="G4" s="91"/>
      <c r="H4" s="90" t="s">
        <v>43</v>
      </c>
      <c r="I4" s="46"/>
      <c r="J4" s="78" t="s">
        <v>142</v>
      </c>
    </row>
    <row r="5" spans="1:10" x14ac:dyDescent="0.35">
      <c r="A5" s="47" t="s">
        <v>143</v>
      </c>
      <c r="B5" s="45"/>
      <c r="C5" s="45"/>
      <c r="D5" s="45"/>
      <c r="E5" s="45"/>
      <c r="F5" s="45"/>
      <c r="G5" s="45"/>
      <c r="H5" s="45"/>
      <c r="I5" s="45"/>
      <c r="J5" s="45"/>
    </row>
    <row r="6" spans="1:10" x14ac:dyDescent="0.35">
      <c r="A6" s="47" t="s">
        <v>144</v>
      </c>
      <c r="B6" s="45"/>
      <c r="C6" s="45"/>
      <c r="D6" s="45"/>
      <c r="E6" s="45"/>
      <c r="F6" s="45"/>
      <c r="G6" s="45"/>
      <c r="H6" s="45"/>
      <c r="I6" s="45"/>
      <c r="J6" s="45"/>
    </row>
    <row r="7" spans="1:10" x14ac:dyDescent="0.35">
      <c r="A7" s="45" t="s">
        <v>44</v>
      </c>
      <c r="B7" s="45"/>
      <c r="C7" s="45"/>
      <c r="D7" s="45"/>
      <c r="E7" s="45"/>
      <c r="F7" s="106">
        <f>Details!E19</f>
        <v>556.45000000000005</v>
      </c>
      <c r="G7" s="45"/>
      <c r="H7" s="109">
        <f>ROUND(F7*Input!$D$13,0)</f>
        <v>278225</v>
      </c>
      <c r="I7" s="45"/>
      <c r="J7" s="48"/>
    </row>
    <row r="8" spans="1:10" x14ac:dyDescent="0.35">
      <c r="A8" s="45" t="s">
        <v>45</v>
      </c>
      <c r="B8" s="45"/>
      <c r="C8" s="45"/>
      <c r="D8" s="45"/>
      <c r="E8" s="45"/>
      <c r="F8" s="106">
        <f>Details!E26</f>
        <v>79.41</v>
      </c>
      <c r="G8" s="45"/>
      <c r="H8" s="109">
        <f>ROUND(F8*Input!$D$13,0)</f>
        <v>39705</v>
      </c>
      <c r="I8" s="45"/>
      <c r="J8" s="48"/>
    </row>
    <row r="9" spans="1:10" x14ac:dyDescent="0.35">
      <c r="A9" s="45" t="s">
        <v>350</v>
      </c>
      <c r="B9" s="45"/>
      <c r="C9" s="45"/>
      <c r="D9" s="45"/>
      <c r="E9" s="45"/>
      <c r="F9" s="106">
        <f>Details!E33</f>
        <v>4.5</v>
      </c>
      <c r="G9" s="45"/>
      <c r="H9" s="109">
        <f>ROUND(F9*Input!$D$13,0)</f>
        <v>2250</v>
      </c>
      <c r="I9" s="45"/>
      <c r="J9" s="48"/>
    </row>
    <row r="10" spans="1:10" x14ac:dyDescent="0.35">
      <c r="A10" s="45" t="s">
        <v>176</v>
      </c>
      <c r="B10" s="45"/>
      <c r="C10" s="45"/>
      <c r="D10" s="45"/>
      <c r="E10" s="45"/>
      <c r="F10" s="107">
        <f>Details!E40</f>
        <v>52.38</v>
      </c>
      <c r="G10" s="49"/>
      <c r="H10" s="110">
        <f>ROUND(F10*Input!$D$13,0)</f>
        <v>26190</v>
      </c>
      <c r="I10" s="45"/>
      <c r="J10" s="48"/>
    </row>
    <row r="11" spans="1:10" x14ac:dyDescent="0.35">
      <c r="A11" s="47" t="s">
        <v>46</v>
      </c>
      <c r="B11" s="45"/>
      <c r="C11" s="45"/>
      <c r="D11" s="45"/>
      <c r="E11" s="45"/>
      <c r="F11" s="81">
        <f>SUM(F7:F10)</f>
        <v>692.74</v>
      </c>
      <c r="G11" s="45"/>
      <c r="H11" s="82">
        <f>SUM(H7:H10)</f>
        <v>346370</v>
      </c>
      <c r="I11" s="45"/>
      <c r="J11" s="48"/>
    </row>
    <row r="12" spans="1:10" x14ac:dyDescent="0.35">
      <c r="A12" s="47" t="s">
        <v>145</v>
      </c>
      <c r="B12" s="45"/>
      <c r="C12" s="45"/>
      <c r="D12" s="45"/>
      <c r="E12" s="45"/>
      <c r="F12" s="108"/>
      <c r="G12" s="45"/>
      <c r="H12" s="111"/>
      <c r="I12" s="45"/>
      <c r="J12" s="45"/>
    </row>
    <row r="13" spans="1:10" x14ac:dyDescent="0.35">
      <c r="A13" s="45" t="s">
        <v>47</v>
      </c>
      <c r="B13" s="45"/>
      <c r="C13" s="45"/>
      <c r="D13" s="45"/>
      <c r="E13" s="45"/>
      <c r="F13" s="106">
        <f>Details!E59</f>
        <v>2294.3000000000002</v>
      </c>
      <c r="G13" s="45"/>
      <c r="H13" s="109">
        <f>ROUND(F13*Input!$D$13,0)</f>
        <v>1147150</v>
      </c>
      <c r="I13" s="45"/>
      <c r="J13" s="48"/>
    </row>
    <row r="14" spans="1:10" x14ac:dyDescent="0.35">
      <c r="A14" s="45" t="s">
        <v>48</v>
      </c>
      <c r="B14" s="45"/>
      <c r="C14" s="45"/>
      <c r="D14" s="45"/>
      <c r="E14" s="45"/>
      <c r="F14" s="106">
        <f>Details!E64</f>
        <v>35</v>
      </c>
      <c r="G14" s="45"/>
      <c r="H14" s="109">
        <f>ROUND(F14*Input!$D$13,0)</f>
        <v>17500</v>
      </c>
      <c r="I14" s="45"/>
      <c r="J14" s="48"/>
    </row>
    <row r="15" spans="1:10" x14ac:dyDescent="0.35">
      <c r="A15" s="45" t="s">
        <v>49</v>
      </c>
      <c r="B15" s="45"/>
      <c r="C15" s="45"/>
      <c r="D15" s="45"/>
      <c r="E15" s="45"/>
      <c r="F15" s="106">
        <f>Details!E89</f>
        <v>28.49</v>
      </c>
      <c r="G15" s="45"/>
      <c r="H15" s="109">
        <f>ROUND(F15*Input!$D$13,0)</f>
        <v>14245</v>
      </c>
      <c r="I15" s="45"/>
      <c r="J15" s="48"/>
    </row>
    <row r="16" spans="1:10" x14ac:dyDescent="0.35">
      <c r="A16" s="45" t="s">
        <v>50</v>
      </c>
      <c r="B16" s="45"/>
      <c r="C16" s="45"/>
      <c r="D16" s="45"/>
      <c r="E16" s="45"/>
      <c r="F16" s="106">
        <f>Details!E115</f>
        <v>14.523680000000001</v>
      </c>
      <c r="G16" s="45"/>
      <c r="H16" s="109">
        <f>ROUND(F16*Input!$D$13,0)</f>
        <v>7262</v>
      </c>
      <c r="I16" s="45"/>
      <c r="J16" s="48"/>
    </row>
    <row r="17" spans="1:10" x14ac:dyDescent="0.35">
      <c r="A17" s="45" t="s">
        <v>51</v>
      </c>
      <c r="B17" s="45"/>
      <c r="C17" s="45"/>
      <c r="D17" s="45"/>
      <c r="E17" s="45"/>
      <c r="F17" s="106">
        <f>Details!E120</f>
        <v>7.01</v>
      </c>
      <c r="G17" s="45"/>
      <c r="H17" s="109">
        <f>ROUND(F17*Input!$D$13,0)</f>
        <v>3505</v>
      </c>
      <c r="I17" s="45"/>
      <c r="J17" s="48"/>
    </row>
    <row r="18" spans="1:10" x14ac:dyDescent="0.35">
      <c r="A18" s="45" t="s">
        <v>52</v>
      </c>
      <c r="B18" s="45"/>
      <c r="C18" s="45"/>
      <c r="D18" s="45"/>
      <c r="E18" s="45"/>
      <c r="F18" s="106">
        <f>Details!E133</f>
        <v>122.17</v>
      </c>
      <c r="G18" s="45"/>
      <c r="H18" s="109">
        <f>ROUND(F18*Input!$D$13,0)</f>
        <v>61085</v>
      </c>
      <c r="I18" s="45"/>
      <c r="J18" s="48"/>
    </row>
    <row r="19" spans="1:10" x14ac:dyDescent="0.35">
      <c r="A19" s="45" t="s">
        <v>53</v>
      </c>
      <c r="B19" s="45"/>
      <c r="C19" s="45"/>
      <c r="D19" s="45"/>
      <c r="E19" s="45"/>
      <c r="F19" s="106">
        <f>Details!E152</f>
        <v>1.8</v>
      </c>
      <c r="G19" s="45"/>
      <c r="H19" s="109">
        <f>ROUND(F19*Input!$D$13,0)</f>
        <v>900</v>
      </c>
      <c r="I19" s="45"/>
      <c r="J19" s="48"/>
    </row>
    <row r="20" spans="1:10" x14ac:dyDescent="0.35">
      <c r="A20" s="45" t="s">
        <v>54</v>
      </c>
      <c r="B20" s="45"/>
      <c r="C20" s="45"/>
      <c r="D20" s="45"/>
      <c r="E20" s="45"/>
      <c r="F20" s="106">
        <f>Details!E157</f>
        <v>14</v>
      </c>
      <c r="G20" s="45"/>
      <c r="H20" s="109">
        <f>ROUND(F20*Input!$D$13,0)</f>
        <v>7000</v>
      </c>
      <c r="I20" s="45"/>
      <c r="J20" s="48"/>
    </row>
    <row r="21" spans="1:10" x14ac:dyDescent="0.35">
      <c r="A21" s="45" t="s">
        <v>55</v>
      </c>
      <c r="B21" s="45"/>
      <c r="C21" s="45"/>
      <c r="D21" s="45"/>
      <c r="E21" s="45"/>
      <c r="F21" s="106">
        <f>Details!E162</f>
        <v>1.8</v>
      </c>
      <c r="G21" s="45"/>
      <c r="H21" s="109">
        <f>ROUND(F21*Input!$D$13,0)</f>
        <v>900</v>
      </c>
      <c r="I21" s="45"/>
      <c r="J21" s="48"/>
    </row>
    <row r="22" spans="1:10" x14ac:dyDescent="0.35">
      <c r="A22" s="45" t="s">
        <v>56</v>
      </c>
      <c r="B22" s="45"/>
      <c r="C22" s="45"/>
      <c r="D22" s="45"/>
      <c r="E22" s="45"/>
      <c r="F22" s="107">
        <f>Details!E170</f>
        <v>53.84</v>
      </c>
      <c r="G22" s="49"/>
      <c r="H22" s="110">
        <f>ROUND(F22*Input!$D$13,0)</f>
        <v>26920</v>
      </c>
      <c r="I22" s="45"/>
      <c r="J22" s="48"/>
    </row>
    <row r="23" spans="1:10" x14ac:dyDescent="0.35">
      <c r="A23" s="45" t="s">
        <v>146</v>
      </c>
      <c r="B23" s="45"/>
      <c r="C23" s="45"/>
      <c r="D23" s="45"/>
      <c r="E23" s="45"/>
      <c r="F23" s="106">
        <f>SUM(F11:F22)</f>
        <v>3265.6736800000003</v>
      </c>
      <c r="G23" s="45"/>
      <c r="H23" s="109">
        <f>SUM(H11:H22)</f>
        <v>1632837</v>
      </c>
      <c r="I23" s="45"/>
      <c r="J23" s="48"/>
    </row>
    <row r="24" spans="1:10" x14ac:dyDescent="0.35">
      <c r="A24" s="45" t="s">
        <v>57</v>
      </c>
      <c r="B24" s="45"/>
      <c r="C24" s="45"/>
      <c r="D24" s="45"/>
      <c r="E24" s="45"/>
      <c r="F24" s="107">
        <f>Details!E178</f>
        <v>156.81</v>
      </c>
      <c r="G24" s="49"/>
      <c r="H24" s="110">
        <f>ROUND(F24*Input!$D$13,0)</f>
        <v>78405</v>
      </c>
      <c r="I24" s="45"/>
      <c r="J24" s="48"/>
    </row>
    <row r="25" spans="1:10" x14ac:dyDescent="0.35">
      <c r="A25" s="47" t="s">
        <v>147</v>
      </c>
      <c r="B25" s="45"/>
      <c r="C25" s="45"/>
      <c r="D25" s="45"/>
      <c r="E25" s="45"/>
      <c r="F25" s="81">
        <f>F23+F24</f>
        <v>3422.4836800000003</v>
      </c>
      <c r="G25" s="45"/>
      <c r="H25" s="82">
        <f>H23+H24</f>
        <v>1711242</v>
      </c>
      <c r="I25" s="45"/>
      <c r="J25" s="48"/>
    </row>
    <row r="26" spans="1:10" x14ac:dyDescent="0.35">
      <c r="A26" s="47" t="s">
        <v>148</v>
      </c>
      <c r="B26" s="45"/>
      <c r="C26" s="45"/>
      <c r="D26" s="45"/>
      <c r="E26" s="45"/>
      <c r="F26" s="108"/>
      <c r="G26" s="45"/>
      <c r="H26" s="111"/>
      <c r="I26" s="45"/>
      <c r="J26" s="45"/>
    </row>
    <row r="27" spans="1:10" x14ac:dyDescent="0.35">
      <c r="A27" s="50" t="s">
        <v>58</v>
      </c>
      <c r="B27" s="45"/>
      <c r="C27" s="45"/>
      <c r="D27" s="45"/>
      <c r="E27" s="45"/>
      <c r="F27" s="108"/>
      <c r="G27" s="45"/>
      <c r="H27" s="111"/>
      <c r="I27" s="45"/>
      <c r="J27" s="45"/>
    </row>
    <row r="28" spans="1:10" x14ac:dyDescent="0.35">
      <c r="A28" s="45" t="s">
        <v>59</v>
      </c>
      <c r="B28" s="45"/>
      <c r="C28" s="45"/>
      <c r="D28" s="45"/>
      <c r="E28" s="45"/>
      <c r="F28" s="106">
        <f>Details!E211</f>
        <v>7.46</v>
      </c>
      <c r="G28" s="45"/>
      <c r="H28" s="109">
        <f>F28*Input!$D$13</f>
        <v>3730</v>
      </c>
      <c r="I28" s="45"/>
      <c r="J28" s="48"/>
    </row>
    <row r="29" spans="1:10" x14ac:dyDescent="0.35">
      <c r="A29" s="45" t="s">
        <v>60</v>
      </c>
      <c r="B29" s="45"/>
      <c r="C29" s="45"/>
      <c r="D29" s="45"/>
      <c r="E29" s="45"/>
      <c r="F29" s="106">
        <f>Details!E218</f>
        <v>20.8</v>
      </c>
      <c r="G29" s="45"/>
      <c r="H29" s="109">
        <f>F29*Input!$D$13</f>
        <v>10400</v>
      </c>
      <c r="I29" s="45"/>
      <c r="J29" s="48"/>
    </row>
    <row r="30" spans="1:10" x14ac:dyDescent="0.35">
      <c r="A30" s="50" t="s">
        <v>61</v>
      </c>
      <c r="B30" s="45"/>
      <c r="C30" s="45"/>
      <c r="D30" s="45"/>
      <c r="E30" s="45"/>
      <c r="F30" s="108" t="s">
        <v>0</v>
      </c>
      <c r="G30" s="45"/>
      <c r="H30" s="111"/>
      <c r="I30" s="45"/>
      <c r="J30" s="45"/>
    </row>
    <row r="31" spans="1:10" x14ac:dyDescent="0.35">
      <c r="A31" s="45" t="s">
        <v>62</v>
      </c>
      <c r="B31" s="45"/>
      <c r="C31" s="45"/>
      <c r="D31" s="45"/>
      <c r="E31" s="45"/>
      <c r="F31" s="106">
        <f>Details!E228</f>
        <v>3.65</v>
      </c>
      <c r="G31" s="45"/>
      <c r="H31" s="109">
        <f>F31*Input!$D$13</f>
        <v>1825</v>
      </c>
      <c r="I31" s="45"/>
      <c r="J31" s="48"/>
    </row>
    <row r="32" spans="1:10" x14ac:dyDescent="0.35">
      <c r="A32" s="45" t="s">
        <v>63</v>
      </c>
      <c r="B32" s="45"/>
      <c r="C32" s="45"/>
      <c r="D32" s="45"/>
      <c r="E32" s="45"/>
      <c r="F32" s="107">
        <f>Details!E236</f>
        <v>6.24</v>
      </c>
      <c r="G32" s="49"/>
      <c r="H32" s="110">
        <f>F32*Input!$D$13</f>
        <v>3120</v>
      </c>
      <c r="I32" s="45"/>
      <c r="J32" s="48"/>
    </row>
    <row r="33" spans="1:10" x14ac:dyDescent="0.35">
      <c r="A33" s="47" t="s">
        <v>149</v>
      </c>
      <c r="B33" s="45"/>
      <c r="C33" s="45"/>
      <c r="D33" s="45"/>
      <c r="E33" s="45"/>
      <c r="F33" s="92">
        <f>SUM(F28:F32)</f>
        <v>38.15</v>
      </c>
      <c r="G33" s="49"/>
      <c r="H33" s="93">
        <f>SUM(H28:H32)</f>
        <v>19075</v>
      </c>
      <c r="I33" s="45"/>
      <c r="J33" s="48"/>
    </row>
    <row r="34" spans="1:10" x14ac:dyDescent="0.35">
      <c r="A34" s="47" t="s">
        <v>150</v>
      </c>
      <c r="B34" s="47"/>
      <c r="C34" s="47"/>
      <c r="D34" s="47"/>
      <c r="E34" s="47"/>
      <c r="F34" s="81">
        <f>F25+F33</f>
        <v>3460.6336800000004</v>
      </c>
      <c r="G34" s="45"/>
      <c r="H34" s="82">
        <f>H25+H33</f>
        <v>1730317</v>
      </c>
      <c r="I34" s="45"/>
      <c r="J34" s="48"/>
    </row>
    <row r="35" spans="1:10" ht="8.25" customHeight="1" x14ac:dyDescent="0.35">
      <c r="A35" s="47"/>
      <c r="B35" s="47"/>
      <c r="C35" s="47"/>
      <c r="D35" s="47"/>
      <c r="E35" s="47"/>
      <c r="F35" s="81"/>
      <c r="G35" s="45"/>
      <c r="H35" s="82"/>
      <c r="I35" s="45"/>
      <c r="J35" s="48"/>
    </row>
    <row r="36" spans="1:10" x14ac:dyDescent="0.35">
      <c r="A36" s="47" t="s">
        <v>357</v>
      </c>
      <c r="B36" s="45"/>
      <c r="C36" s="45"/>
      <c r="D36" s="45"/>
      <c r="E36" s="45"/>
      <c r="F36" s="106">
        <f>Details!E241</f>
        <v>54</v>
      </c>
      <c r="G36" s="45"/>
      <c r="H36" s="109">
        <f>F36*Input!$D$13</f>
        <v>27000</v>
      </c>
      <c r="I36" s="45"/>
      <c r="J36" s="48"/>
    </row>
    <row r="37" spans="1:10" x14ac:dyDescent="0.35">
      <c r="A37" s="47" t="s">
        <v>64</v>
      </c>
      <c r="B37" s="47"/>
      <c r="C37" s="47"/>
      <c r="D37" s="47"/>
      <c r="E37" s="47"/>
      <c r="F37" s="81">
        <f>F34+F36</f>
        <v>3514.6336800000004</v>
      </c>
      <c r="G37" s="45"/>
      <c r="H37" s="82">
        <f>H34+H36</f>
        <v>1757317</v>
      </c>
      <c r="I37" s="45"/>
      <c r="J37" s="48"/>
    </row>
    <row r="38" spans="1:10" ht="8.25" customHeight="1" thickBot="1" x14ac:dyDescent="0.45">
      <c r="A38" s="51"/>
      <c r="B38" s="51"/>
      <c r="C38" s="51"/>
      <c r="D38" s="51"/>
      <c r="E38" s="51"/>
      <c r="F38" s="51"/>
      <c r="G38" s="51"/>
      <c r="H38" s="51"/>
      <c r="I38" s="51"/>
      <c r="J38" s="51"/>
    </row>
    <row r="39" spans="1:10" s="131" customFormat="1" ht="15" customHeight="1" thickTop="1" x14ac:dyDescent="0.35">
      <c r="A39" s="167"/>
      <c r="B39" s="167"/>
      <c r="C39" s="168"/>
      <c r="D39" s="169" t="s">
        <v>288</v>
      </c>
      <c r="E39" s="168"/>
      <c r="F39" s="167"/>
      <c r="G39" s="168"/>
      <c r="H39" s="170"/>
      <c r="I39" s="168"/>
      <c r="J39" s="168"/>
    </row>
    <row r="40" spans="1:10" s="131" customFormat="1" ht="8.25" customHeight="1" x14ac:dyDescent="0.35">
      <c r="C40" s="132"/>
      <c r="D40" s="133"/>
      <c r="E40" s="132"/>
      <c r="G40" s="132"/>
      <c r="H40" s="134"/>
      <c r="I40" s="132"/>
      <c r="J40" s="132"/>
    </row>
    <row r="41" spans="1:10" s="131" customFormat="1" ht="15" customHeight="1" x14ac:dyDescent="0.35">
      <c r="A41" s="133" t="s">
        <v>271</v>
      </c>
      <c r="C41" s="132"/>
      <c r="D41" s="132"/>
      <c r="E41" s="132"/>
      <c r="F41" s="135" t="s">
        <v>273</v>
      </c>
      <c r="G41" s="136" t="s">
        <v>0</v>
      </c>
      <c r="H41" s="137" t="s">
        <v>76</v>
      </c>
      <c r="I41" s="132"/>
      <c r="J41" s="132"/>
    </row>
    <row r="42" spans="1:10" s="138" customFormat="1" ht="15" customHeight="1" x14ac:dyDescent="0.35">
      <c r="A42" s="52" t="str">
        <f>"    Gross Revenue @ $"&amp;Input!D18&amp;"/cwt market price"</f>
        <v xml:space="preserve">    Gross Revenue @ $248/cwt market price</v>
      </c>
      <c r="B42" s="129"/>
      <c r="C42" s="132"/>
      <c r="D42" s="132"/>
      <c r="E42" s="132"/>
      <c r="F42" s="139">
        <f>Breakeven!E48</f>
        <v>3298.4</v>
      </c>
      <c r="G42" s="133"/>
      <c r="H42" s="140">
        <f>ROUND(F42*Input!$D$13,0)</f>
        <v>1649200</v>
      </c>
      <c r="I42" s="133"/>
      <c r="J42" s="133"/>
    </row>
    <row r="43" spans="1:10" s="146" customFormat="1" ht="4.5" customHeight="1" x14ac:dyDescent="0.35">
      <c r="A43" s="141"/>
      <c r="B43" s="142"/>
      <c r="C43" s="143"/>
      <c r="D43" s="143"/>
      <c r="E43" s="143"/>
      <c r="F43" s="144"/>
      <c r="G43" s="143"/>
      <c r="H43" s="145"/>
      <c r="I43" s="143"/>
      <c r="J43" s="143"/>
    </row>
    <row r="44" spans="1:10" s="131" customFormat="1" ht="4.5" customHeight="1" x14ac:dyDescent="0.35">
      <c r="A44" s="52"/>
      <c r="C44" s="132"/>
      <c r="D44" s="133"/>
      <c r="E44" s="132"/>
      <c r="G44" s="132"/>
      <c r="H44" s="134"/>
      <c r="I44" s="132"/>
      <c r="J44" s="132"/>
    </row>
    <row r="45" spans="1:10" x14ac:dyDescent="0.35">
      <c r="A45" s="47" t="s">
        <v>278</v>
      </c>
      <c r="B45" s="52"/>
      <c r="C45" s="45"/>
      <c r="D45" s="45"/>
      <c r="E45" s="45"/>
      <c r="F45" s="151" t="s">
        <v>277</v>
      </c>
      <c r="G45" s="45"/>
      <c r="H45" s="151" t="s">
        <v>275</v>
      </c>
      <c r="I45" s="45"/>
      <c r="J45" s="45"/>
    </row>
    <row r="46" spans="1:10" x14ac:dyDescent="0.35">
      <c r="A46" s="45"/>
      <c r="B46" s="52"/>
      <c r="C46" s="45"/>
      <c r="D46" s="45"/>
      <c r="E46" s="45"/>
      <c r="F46" s="151" t="s">
        <v>276</v>
      </c>
      <c r="G46" s="45"/>
      <c r="H46" s="151" t="s">
        <v>276</v>
      </c>
      <c r="I46" s="45"/>
      <c r="J46" s="45"/>
    </row>
    <row r="47" spans="1:10" x14ac:dyDescent="0.35">
      <c r="A47" s="50"/>
      <c r="B47" s="52"/>
      <c r="C47" s="45"/>
      <c r="D47" s="45"/>
      <c r="E47" s="45"/>
      <c r="F47" s="152" t="str">
        <f>"$"&amp;Input!D18&amp;"/cwt market price"</f>
        <v>$248/cwt market price</v>
      </c>
      <c r="G47" s="45"/>
      <c r="H47" s="152" t="str">
        <f>"$"&amp;Input!D16&amp;"/cwt feeder price"</f>
        <v>$350/cwt feeder price</v>
      </c>
      <c r="I47" s="45"/>
      <c r="J47" s="45"/>
    </row>
    <row r="48" spans="1:10" x14ac:dyDescent="0.35">
      <c r="A48" s="45" t="s">
        <v>162</v>
      </c>
      <c r="B48" s="52"/>
      <c r="C48" s="45"/>
      <c r="D48" s="45"/>
      <c r="E48" s="45"/>
      <c r="F48" s="83">
        <f>Breakeven!E51*100</f>
        <v>330.91020307692304</v>
      </c>
      <c r="G48" s="45"/>
      <c r="H48" s="83">
        <f>Breakeven!E31*100</f>
        <v>257.32960000000003</v>
      </c>
      <c r="I48" s="45"/>
      <c r="J48" s="48"/>
    </row>
    <row r="49" spans="1:10" x14ac:dyDescent="0.35">
      <c r="A49" s="52" t="s">
        <v>279</v>
      </c>
      <c r="B49" s="52"/>
      <c r="C49" s="45"/>
      <c r="D49" s="45"/>
      <c r="E49" s="45"/>
      <c r="F49" s="83">
        <f>Breakeven!E58*100</f>
        <v>322.60251076923072</v>
      </c>
      <c r="G49" s="45"/>
      <c r="H49" s="83">
        <f>Breakeven!E35*100</f>
        <v>261.38975037593985</v>
      </c>
      <c r="I49" s="45"/>
      <c r="J49" s="48"/>
    </row>
    <row r="50" spans="1:10" x14ac:dyDescent="0.35">
      <c r="A50" s="45" t="s">
        <v>163</v>
      </c>
      <c r="B50" s="45"/>
      <c r="C50" s="45"/>
      <c r="D50" s="45"/>
      <c r="E50" s="45"/>
      <c r="F50" s="83">
        <f>Breakeven!E65*100</f>
        <v>325.04097230769224</v>
      </c>
      <c r="G50" s="45"/>
      <c r="H50" s="83">
        <f>Breakeven!E39*100</f>
        <v>260.19802105263159</v>
      </c>
      <c r="I50" s="45"/>
      <c r="J50" s="53"/>
    </row>
    <row r="51" spans="1:10" x14ac:dyDescent="0.35">
      <c r="A51" s="45" t="s">
        <v>164</v>
      </c>
      <c r="B51" s="45"/>
      <c r="C51" s="45"/>
      <c r="D51" s="45"/>
      <c r="E51" s="45"/>
      <c r="F51" s="83">
        <f>Breakeven!E72*100</f>
        <v>316.73327999999998</v>
      </c>
      <c r="G51" s="45"/>
      <c r="H51" s="83">
        <f>Breakeven!E43*100</f>
        <v>264.25817142857142</v>
      </c>
      <c r="I51" s="45"/>
      <c r="J51" s="53"/>
    </row>
    <row r="52" spans="1:10" ht="8.25" customHeight="1" x14ac:dyDescent="0.35">
      <c r="A52" s="45"/>
      <c r="B52" s="45"/>
      <c r="C52" s="45"/>
      <c r="D52" s="45"/>
      <c r="E52" s="45"/>
      <c r="F52" s="83"/>
      <c r="G52" s="45"/>
      <c r="H52" s="83"/>
      <c r="I52" s="45"/>
      <c r="J52" s="45"/>
    </row>
    <row r="53" spans="1:10" s="131" customFormat="1" ht="15" customHeight="1" x14ac:dyDescent="0.35">
      <c r="C53" s="132"/>
      <c r="D53" s="133"/>
      <c r="E53" s="132"/>
      <c r="F53" s="147" t="s">
        <v>269</v>
      </c>
      <c r="G53" s="132"/>
      <c r="H53" s="149" t="s">
        <v>274</v>
      </c>
      <c r="I53" s="132"/>
      <c r="J53" s="132"/>
    </row>
    <row r="54" spans="1:10" x14ac:dyDescent="0.35">
      <c r="A54" s="50"/>
      <c r="B54" s="45"/>
      <c r="C54" s="45"/>
      <c r="D54" s="45"/>
      <c r="E54" s="45"/>
      <c r="F54" s="148" t="s">
        <v>270</v>
      </c>
      <c r="G54" s="45"/>
      <c r="H54" s="150" t="str">
        <f>"@ $"&amp;Input!D18&amp;" /cwt market price"</f>
        <v>@ $248 /cwt market price</v>
      </c>
      <c r="I54" s="45"/>
      <c r="J54" s="45"/>
    </row>
    <row r="55" spans="1:10" x14ac:dyDescent="0.35">
      <c r="A55" s="52" t="s">
        <v>272</v>
      </c>
      <c r="B55" s="45"/>
      <c r="C55" s="45"/>
      <c r="D55" s="45"/>
      <c r="E55" s="45"/>
      <c r="F55" s="83">
        <f>Breakeven!E7*100</f>
        <v>101.87352941176471</v>
      </c>
      <c r="G55" s="45"/>
      <c r="H55" s="153"/>
      <c r="I55" s="45"/>
      <c r="J55" s="48"/>
    </row>
    <row r="56" spans="1:10" x14ac:dyDescent="0.35">
      <c r="A56" s="52" t="s">
        <v>162</v>
      </c>
      <c r="B56" s="45"/>
      <c r="C56" s="45"/>
      <c r="D56" s="45"/>
      <c r="E56" s="45"/>
      <c r="F56" s="83">
        <f>Breakeven!E12*100</f>
        <v>168.74760000000003</v>
      </c>
      <c r="G56" s="45"/>
      <c r="H56" s="154">
        <f>Breakeven!E48-F25</f>
        <v>-124.08368000000019</v>
      </c>
      <c r="I56" s="45"/>
      <c r="J56" s="48"/>
    </row>
    <row r="57" spans="1:10" x14ac:dyDescent="0.35">
      <c r="A57" s="52" t="s">
        <v>279</v>
      </c>
      <c r="B57" s="45"/>
      <c r="C57" s="45"/>
      <c r="D57" s="45"/>
      <c r="E57" s="45"/>
      <c r="F57" s="83">
        <f>Breakeven!E17*100</f>
        <v>176.68877647058827</v>
      </c>
      <c r="G57" s="45"/>
      <c r="H57" s="154">
        <f>Breakeven!E48-F25-F36</f>
        <v>-178.08368000000019</v>
      </c>
      <c r="I57" s="45"/>
      <c r="J57" s="48"/>
    </row>
    <row r="58" spans="1:10" x14ac:dyDescent="0.35">
      <c r="A58" s="52" t="s">
        <v>163</v>
      </c>
      <c r="B58" s="45"/>
      <c r="C58" s="45"/>
      <c r="D58" s="45"/>
      <c r="E58" s="45"/>
      <c r="F58" s="83">
        <f>Breakeven!E22*100</f>
        <v>174.35789411764711</v>
      </c>
      <c r="G58" s="45"/>
      <c r="H58" s="154">
        <f>Breakeven!E48-F34</f>
        <v>-162.23368000000028</v>
      </c>
      <c r="I58" s="45"/>
      <c r="J58" s="53"/>
    </row>
    <row r="59" spans="1:10" x14ac:dyDescent="0.35">
      <c r="A59" s="45" t="s">
        <v>164</v>
      </c>
      <c r="B59" s="52"/>
      <c r="C59" s="45"/>
      <c r="D59" s="45"/>
      <c r="E59" s="45"/>
      <c r="F59" s="83">
        <f>Breakeven!E27*100</f>
        <v>182.29907058823537</v>
      </c>
      <c r="G59" s="45"/>
      <c r="H59" s="154">
        <f>Breakeven!E48-F37</f>
        <v>-216.23368000000028</v>
      </c>
      <c r="I59" s="45"/>
      <c r="J59" s="53"/>
    </row>
    <row r="60" spans="1:10" s="138" customFormat="1" ht="7.5" customHeight="1" x14ac:dyDescent="0.35">
      <c r="A60" s="57"/>
      <c r="B60" s="317"/>
      <c r="C60" s="293"/>
      <c r="D60" s="293"/>
      <c r="E60" s="293"/>
      <c r="F60" s="144"/>
      <c r="G60" s="143"/>
      <c r="H60" s="145"/>
      <c r="I60" s="143"/>
      <c r="J60" s="143"/>
    </row>
    <row r="61" spans="1:10" s="315" customFormat="1" ht="15" customHeight="1" x14ac:dyDescent="0.35">
      <c r="A61" s="146" t="s">
        <v>354</v>
      </c>
      <c r="B61" s="132"/>
      <c r="C61" s="132"/>
      <c r="D61" s="132"/>
      <c r="E61" s="132"/>
      <c r="F61" s="316">
        <f>(F42-F37)/F37</f>
        <v>-6.1523817184839659E-2</v>
      </c>
      <c r="G61" s="132"/>
      <c r="H61" s="314"/>
      <c r="I61" s="28"/>
      <c r="J61" s="132"/>
    </row>
    <row r="62" spans="1:10" s="315" customFormat="1" ht="15.75" customHeight="1" x14ac:dyDescent="0.35">
      <c r="A62" s="146" t="s">
        <v>356</v>
      </c>
      <c r="B62" s="132"/>
      <c r="C62" s="132"/>
      <c r="D62" s="132"/>
      <c r="E62" s="132"/>
      <c r="F62" s="316">
        <f>((F42-F25-F36-F28-F29)/(Input!D132/Input!D13))</f>
        <v>-0.48462511155996107</v>
      </c>
      <c r="G62" s="132"/>
      <c r="H62" s="314"/>
      <c r="I62" s="28"/>
      <c r="J62" s="132"/>
    </row>
    <row r="63" spans="1:10" ht="4.5" customHeight="1" x14ac:dyDescent="0.35">
      <c r="A63" s="48"/>
      <c r="B63" s="48"/>
      <c r="C63" s="48"/>
      <c r="D63" s="48"/>
      <c r="E63" s="48"/>
      <c r="F63" s="48"/>
      <c r="G63" s="48"/>
      <c r="H63" s="48"/>
      <c r="I63" s="48"/>
      <c r="J63" s="48"/>
    </row>
    <row r="64" spans="1:10" ht="45" customHeight="1" x14ac:dyDescent="0.35">
      <c r="A64" s="335" t="s">
        <v>289</v>
      </c>
      <c r="B64" s="336"/>
      <c r="C64" s="336"/>
      <c r="D64" s="336"/>
      <c r="E64" s="336"/>
      <c r="F64" s="336"/>
      <c r="G64" s="336"/>
      <c r="H64" s="336"/>
      <c r="I64" s="336"/>
      <c r="J64" s="336"/>
    </row>
  </sheetData>
  <sheetProtection password="C6A6" sheet="1"/>
  <mergeCells count="3">
    <mergeCell ref="A1:J1"/>
    <mergeCell ref="A64:J64"/>
    <mergeCell ref="A2:J2"/>
  </mergeCells>
  <phoneticPr fontId="0" type="noConversion"/>
  <printOptions horizontalCentered="1" verticalCentered="1"/>
  <pageMargins left="0.74803149606299213" right="0.55118110236220474" top="0.70866141732283472" bottom="0.9055118110236221" header="0.51181102362204722" footer="0.51181102362204722"/>
  <pageSetup scale="73" firstPageNumber="2" orientation="portrait" useFirstPageNumber="1" horizontalDpi="180" r:id="rId1"/>
  <headerFooter scaleWithDoc="0">
    <oddHeader>&amp;L&amp;9Guidelines: Feedlot Finishing Cattle Production Costs&amp;R&amp;P</oddHeader>
  </headerFooter>
  <ignoredErrors>
    <ignoredError sqref="F23 H33" emptyCellReference="1"/>
    <ignoredError sqref="H23" formula="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60"/>
  <sheetViews>
    <sheetView zoomScale="90" zoomScaleNormal="90" workbookViewId="0">
      <selection sqref="A1:G1"/>
    </sheetView>
  </sheetViews>
  <sheetFormatPr defaultColWidth="8.84375" defaultRowHeight="15.5" x14ac:dyDescent="0.35"/>
  <cols>
    <col min="1" max="1" width="1.69140625" style="223" customWidth="1"/>
    <col min="2" max="2" width="28.53515625" style="223" customWidth="1"/>
    <col min="3" max="7" width="10.765625" style="223" customWidth="1"/>
    <col min="8" max="10" width="8" style="223" customWidth="1"/>
    <col min="11" max="16384" width="8.84375" style="221"/>
  </cols>
  <sheetData>
    <row r="1" spans="1:11" ht="18" x14ac:dyDescent="0.4">
      <c r="A1" s="338" t="s">
        <v>305</v>
      </c>
      <c r="B1" s="338"/>
      <c r="C1" s="338"/>
      <c r="D1" s="338"/>
      <c r="E1" s="338"/>
      <c r="F1" s="338"/>
      <c r="G1" s="338"/>
      <c r="H1" s="220"/>
      <c r="I1" s="220"/>
      <c r="J1" s="220"/>
      <c r="K1" s="220"/>
    </row>
    <row r="2" spans="1:11" hidden="1" x14ac:dyDescent="0.35">
      <c r="A2" s="222" t="s">
        <v>143</v>
      </c>
      <c r="C2" s="224"/>
      <c r="D2" s="224"/>
      <c r="E2" s="225" t="s">
        <v>306</v>
      </c>
      <c r="F2" s="224"/>
      <c r="G2" s="224"/>
      <c r="H2" s="224"/>
      <c r="I2" s="224"/>
      <c r="J2" s="224"/>
    </row>
    <row r="3" spans="1:11" hidden="1" x14ac:dyDescent="0.35">
      <c r="A3" s="222"/>
      <c r="B3" s="226" t="s">
        <v>307</v>
      </c>
      <c r="C3" s="224">
        <f>Summary!F11</f>
        <v>692.74</v>
      </c>
      <c r="D3" s="224"/>
      <c r="E3" s="227"/>
      <c r="F3" s="224"/>
      <c r="G3" s="224"/>
      <c r="H3" s="224"/>
      <c r="I3" s="224"/>
      <c r="J3" s="224"/>
    </row>
    <row r="4" spans="1:11" hidden="1" x14ac:dyDescent="0.35">
      <c r="A4" s="222"/>
      <c r="B4" s="223" t="s">
        <v>308</v>
      </c>
      <c r="C4" s="224">
        <f>Summary!F13</f>
        <v>2294.3000000000002</v>
      </c>
      <c r="D4" s="224"/>
      <c r="E4" s="227"/>
      <c r="F4" s="224"/>
      <c r="G4" s="224"/>
      <c r="H4" s="224"/>
      <c r="I4" s="224"/>
      <c r="J4" s="224"/>
    </row>
    <row r="5" spans="1:11" hidden="1" x14ac:dyDescent="0.35">
      <c r="A5" s="222"/>
      <c r="B5" s="226" t="s">
        <v>192</v>
      </c>
      <c r="C5" s="228">
        <f>Summary!F25-Summary!F13-Summary!F11</f>
        <v>435.44368000000009</v>
      </c>
      <c r="D5" s="228"/>
      <c r="E5" s="227"/>
      <c r="F5" s="224"/>
      <c r="G5" s="224"/>
      <c r="H5" s="224"/>
      <c r="I5" s="224"/>
      <c r="J5" s="224"/>
    </row>
    <row r="6" spans="1:11" hidden="1" x14ac:dyDescent="0.35">
      <c r="A6" s="222"/>
      <c r="B6" s="229" t="s">
        <v>309</v>
      </c>
      <c r="C6" s="224">
        <f>SUM(C3:C5)</f>
        <v>3422.4836800000003</v>
      </c>
      <c r="D6" s="224"/>
      <c r="E6" s="227"/>
      <c r="F6" s="224"/>
      <c r="G6" s="224"/>
      <c r="H6" s="224"/>
      <c r="I6" s="224"/>
      <c r="J6" s="224"/>
    </row>
    <row r="7" spans="1:11" hidden="1" x14ac:dyDescent="0.35">
      <c r="A7" s="230" t="s">
        <v>148</v>
      </c>
      <c r="C7" s="224">
        <f>Summary!F33</f>
        <v>38.15</v>
      </c>
      <c r="D7" s="224"/>
      <c r="E7" s="227"/>
      <c r="F7" s="224"/>
      <c r="G7" s="224"/>
      <c r="H7" s="224"/>
      <c r="I7" s="224"/>
      <c r="J7" s="224"/>
    </row>
    <row r="8" spans="1:11" hidden="1" x14ac:dyDescent="0.35">
      <c r="A8" s="230" t="s">
        <v>237</v>
      </c>
      <c r="C8" s="231">
        <f>Summary!F36</f>
        <v>54</v>
      </c>
      <c r="D8" s="231"/>
      <c r="E8" s="227"/>
      <c r="F8" s="224"/>
      <c r="G8" s="224"/>
      <c r="H8" s="224"/>
      <c r="I8" s="224"/>
      <c r="J8" s="224"/>
    </row>
    <row r="9" spans="1:11" hidden="1" x14ac:dyDescent="0.35">
      <c r="A9" s="230" t="s">
        <v>158</v>
      </c>
      <c r="C9" s="224">
        <f>SUM(C6:C8)</f>
        <v>3514.6336800000004</v>
      </c>
      <c r="D9" s="224"/>
      <c r="E9" s="227"/>
      <c r="F9" s="224"/>
      <c r="G9" s="224"/>
      <c r="H9" s="224"/>
      <c r="I9" s="224"/>
      <c r="J9" s="224"/>
    </row>
    <row r="10" spans="1:11" hidden="1" x14ac:dyDescent="0.35">
      <c r="A10" s="230"/>
      <c r="C10" s="224"/>
      <c r="D10" s="224"/>
      <c r="E10" s="227"/>
      <c r="F10" s="224"/>
      <c r="G10" s="224"/>
      <c r="H10" s="224"/>
      <c r="I10" s="224"/>
      <c r="J10" s="224"/>
    </row>
    <row r="11" spans="1:11" ht="17.5" hidden="1" x14ac:dyDescent="0.35">
      <c r="A11" s="232" t="s">
        <v>271</v>
      </c>
      <c r="B11" s="233"/>
      <c r="C11" s="234"/>
      <c r="D11" s="235"/>
      <c r="E11" s="236"/>
      <c r="F11" s="235"/>
      <c r="G11" s="235"/>
      <c r="H11" s="235"/>
      <c r="I11" s="234"/>
      <c r="J11" s="235"/>
    </row>
    <row r="12" spans="1:11" ht="17.5" hidden="1" x14ac:dyDescent="0.35">
      <c r="A12" s="233"/>
      <c r="B12" s="237" t="s">
        <v>310</v>
      </c>
      <c r="C12" s="238">
        <f>Input!D18</f>
        <v>248</v>
      </c>
      <c r="D12" s="238"/>
      <c r="E12" s="239"/>
      <c r="F12" s="240"/>
      <c r="G12" s="240"/>
      <c r="H12" s="240"/>
      <c r="I12" s="240"/>
      <c r="J12" s="240"/>
    </row>
    <row r="13" spans="1:11" ht="7.5" customHeight="1" x14ac:dyDescent="0.35">
      <c r="A13" s="233"/>
      <c r="B13" s="241"/>
      <c r="C13" s="238"/>
      <c r="D13" s="238"/>
      <c r="E13" s="240"/>
      <c r="F13" s="240"/>
      <c r="G13" s="240"/>
      <c r="H13" s="240"/>
      <c r="I13" s="240"/>
      <c r="J13" s="240"/>
    </row>
    <row r="14" spans="1:11" ht="8.25" customHeight="1" x14ac:dyDescent="0.35">
      <c r="A14" s="242"/>
      <c r="B14" s="242"/>
      <c r="C14" s="243"/>
      <c r="D14" s="243"/>
      <c r="E14" s="243"/>
      <c r="F14" s="243"/>
      <c r="G14" s="243"/>
      <c r="H14" s="244"/>
      <c r="I14" s="244"/>
      <c r="J14" s="244"/>
    </row>
    <row r="15" spans="1:11" ht="17.5" x14ac:dyDescent="0.35">
      <c r="A15" s="242"/>
      <c r="B15" s="245" t="s">
        <v>311</v>
      </c>
      <c r="C15" s="246">
        <v>-2.5000000000000001E-2</v>
      </c>
      <c r="D15" s="247"/>
      <c r="E15" s="247"/>
      <c r="F15" s="248"/>
      <c r="G15" s="247"/>
      <c r="H15" s="234"/>
      <c r="I15" s="249"/>
      <c r="J15" s="249"/>
    </row>
    <row r="16" spans="1:11" ht="18" x14ac:dyDescent="0.4">
      <c r="A16" s="242"/>
      <c r="B16" s="245" t="s">
        <v>312</v>
      </c>
      <c r="C16" s="246">
        <v>0.05</v>
      </c>
      <c r="D16" s="247"/>
      <c r="E16" s="247"/>
      <c r="F16" s="248"/>
      <c r="G16" s="247"/>
      <c r="H16" s="250"/>
      <c r="I16" s="249"/>
      <c r="J16" s="249"/>
    </row>
    <row r="17" spans="1:10" ht="18" x14ac:dyDescent="0.4">
      <c r="A17" s="242"/>
      <c r="B17" s="245" t="s">
        <v>313</v>
      </c>
      <c r="C17" s="246">
        <v>0.05</v>
      </c>
      <c r="D17" s="247"/>
      <c r="E17" s="247"/>
      <c r="F17" s="248"/>
      <c r="G17" s="247"/>
      <c r="H17" s="250"/>
      <c r="I17" s="249"/>
      <c r="J17" s="249"/>
    </row>
    <row r="18" spans="1:10" ht="8.25" customHeight="1" x14ac:dyDescent="0.4">
      <c r="A18" s="242"/>
      <c r="B18" s="245"/>
      <c r="C18" s="251"/>
      <c r="D18" s="251"/>
      <c r="E18" s="247"/>
      <c r="F18" s="248"/>
      <c r="G18" s="247"/>
      <c r="H18" s="250"/>
      <c r="I18" s="249"/>
      <c r="J18" s="249"/>
    </row>
    <row r="19" spans="1:10" ht="7.5" customHeight="1" x14ac:dyDescent="0.35">
      <c r="A19" s="252"/>
      <c r="B19" s="252"/>
      <c r="C19" s="244"/>
      <c r="D19" s="244"/>
      <c r="E19" s="244"/>
      <c r="F19" s="244"/>
      <c r="G19" s="244"/>
      <c r="H19" s="244"/>
      <c r="I19" s="244"/>
      <c r="J19" s="244"/>
    </row>
    <row r="20" spans="1:10" x14ac:dyDescent="0.3">
      <c r="A20" s="253"/>
      <c r="B20" s="253"/>
      <c r="C20" s="254" t="s">
        <v>314</v>
      </c>
      <c r="D20" s="254"/>
      <c r="E20" s="255"/>
      <c r="F20" s="256"/>
      <c r="G20" s="257"/>
      <c r="H20" s="256"/>
      <c r="I20" s="256"/>
      <c r="J20" s="256"/>
    </row>
    <row r="21" spans="1:10" x14ac:dyDescent="0.35">
      <c r="A21" s="230"/>
      <c r="B21" s="258" t="s">
        <v>315</v>
      </c>
      <c r="C21" s="259">
        <f>SUM(C12*(1+C15))</f>
        <v>241.79999999999998</v>
      </c>
      <c r="D21" s="259"/>
      <c r="E21" s="259"/>
      <c r="F21" s="259"/>
      <c r="G21" s="259"/>
      <c r="H21" s="259"/>
      <c r="I21" s="259"/>
      <c r="J21" s="259"/>
    </row>
    <row r="22" spans="1:10" x14ac:dyDescent="0.35">
      <c r="A22" s="230"/>
      <c r="B22" s="260" t="s">
        <v>316</v>
      </c>
      <c r="C22" s="259">
        <f>SUM(C3+(C3*C16))</f>
        <v>727.37699999999995</v>
      </c>
      <c r="D22" s="259"/>
      <c r="E22" s="261"/>
      <c r="F22" s="261"/>
      <c r="G22" s="261"/>
      <c r="H22" s="261"/>
      <c r="I22" s="261"/>
      <c r="J22" s="261"/>
    </row>
    <row r="23" spans="1:10" x14ac:dyDescent="0.35">
      <c r="A23" s="230"/>
      <c r="B23" s="258" t="s">
        <v>308</v>
      </c>
      <c r="C23" s="259">
        <f>SUM(C4+(C4*C17))</f>
        <v>2409.0150000000003</v>
      </c>
      <c r="D23" s="259"/>
      <c r="E23" s="261"/>
      <c r="F23" s="261"/>
      <c r="G23" s="261"/>
      <c r="H23" s="261"/>
      <c r="I23" s="261"/>
      <c r="J23" s="261"/>
    </row>
    <row r="24" spans="1:10" x14ac:dyDescent="0.35">
      <c r="A24" s="262"/>
    </row>
    <row r="25" spans="1:10" x14ac:dyDescent="0.35">
      <c r="A25" s="263" t="str">
        <f>"Stress Test Scenario = Market Price "&amp;IF(C15&lt;0,"Down","Up")&amp;" "&amp;ABS(C15*100)&amp;"%, Feed Price "&amp;IF(C16&lt;0,"Down","Up")&amp;" "&amp;ABS(C16*100)&amp;"% and Feeder Cost "&amp;IF(C17&lt;0,"Down","Up")&amp;" "&amp;ABS(C17*100)&amp;"%"</f>
        <v>Stress Test Scenario = Market Price Down 2.5%, Feed Price Up 5% and Feeder Cost Up 5%</v>
      </c>
      <c r="B25" s="229"/>
      <c r="C25" s="264"/>
      <c r="D25" s="264"/>
      <c r="E25" s="264"/>
      <c r="F25" s="264"/>
      <c r="G25" s="264"/>
      <c r="H25" s="264"/>
      <c r="I25" s="264"/>
      <c r="J25" s="264"/>
    </row>
    <row r="26" spans="1:10" x14ac:dyDescent="0.35">
      <c r="A26" s="263"/>
      <c r="B26" s="229" t="s">
        <v>71</v>
      </c>
      <c r="C26" s="259">
        <f>SUM(C5+C22+C23)</f>
        <v>3571.8356800000001</v>
      </c>
      <c r="D26" s="259"/>
      <c r="E26" s="264"/>
      <c r="F26" s="264"/>
      <c r="G26" s="264"/>
      <c r="H26" s="264"/>
      <c r="I26" s="264"/>
      <c r="J26" s="264"/>
    </row>
    <row r="27" spans="1:10" x14ac:dyDescent="0.35">
      <c r="A27" s="263"/>
      <c r="B27" s="229" t="s">
        <v>158</v>
      </c>
      <c r="C27" s="259">
        <f>C7+C8+C26</f>
        <v>3663.9856800000002</v>
      </c>
      <c r="D27" s="259"/>
      <c r="E27" s="264"/>
      <c r="F27" s="264"/>
      <c r="G27" s="264"/>
      <c r="H27" s="264"/>
      <c r="I27" s="264"/>
      <c r="J27" s="264"/>
    </row>
    <row r="28" spans="1:10" x14ac:dyDescent="0.35">
      <c r="A28" s="262"/>
      <c r="B28" s="235" t="s">
        <v>317</v>
      </c>
      <c r="C28" s="259">
        <f>Breakeven!E46*('Risk Analysis'!C21/100)</f>
        <v>3215.9399999999996</v>
      </c>
      <c r="D28" s="259"/>
      <c r="E28" s="259"/>
      <c r="F28" s="259"/>
      <c r="G28" s="259"/>
      <c r="H28" s="259"/>
      <c r="I28" s="259"/>
      <c r="J28" s="259"/>
    </row>
    <row r="29" spans="1:10" ht="17.5" x14ac:dyDescent="0.35">
      <c r="A29" s="234"/>
      <c r="B29" s="235" t="s">
        <v>318</v>
      </c>
      <c r="C29" s="252"/>
      <c r="D29" s="252"/>
      <c r="E29" s="252"/>
      <c r="F29" s="252"/>
      <c r="G29" s="252"/>
      <c r="H29" s="252"/>
      <c r="I29" s="252"/>
      <c r="J29" s="252"/>
    </row>
    <row r="30" spans="1:10" x14ac:dyDescent="0.35">
      <c r="A30" s="262"/>
      <c r="B30" s="265" t="s">
        <v>319</v>
      </c>
      <c r="C30" s="266">
        <f>SUM(C28-C26)</f>
        <v>-355.89568000000054</v>
      </c>
      <c r="D30" s="266"/>
      <c r="E30" s="266"/>
      <c r="F30" s="266"/>
      <c r="G30" s="266"/>
      <c r="H30" s="266"/>
      <c r="I30" s="266"/>
      <c r="J30" s="266"/>
    </row>
    <row r="31" spans="1:10" x14ac:dyDescent="0.35">
      <c r="A31" s="262"/>
      <c r="B31" s="267" t="s">
        <v>320</v>
      </c>
      <c r="C31" s="266">
        <f>SUM(C28-C26-C8)</f>
        <v>-409.89568000000054</v>
      </c>
      <c r="D31" s="266"/>
      <c r="E31" s="266"/>
      <c r="F31" s="266"/>
      <c r="G31" s="266"/>
      <c r="H31" s="266"/>
      <c r="I31" s="266"/>
      <c r="J31" s="266"/>
    </row>
    <row r="32" spans="1:10" x14ac:dyDescent="0.35">
      <c r="A32" s="262"/>
      <c r="B32" s="265" t="s">
        <v>321</v>
      </c>
      <c r="C32" s="266">
        <f>SUM(C28-C27)</f>
        <v>-448.04568000000063</v>
      </c>
      <c r="D32" s="266"/>
      <c r="E32" s="266"/>
      <c r="F32" s="266"/>
      <c r="G32" s="266"/>
      <c r="H32" s="266"/>
      <c r="I32" s="266"/>
      <c r="J32" s="266"/>
    </row>
    <row r="33" spans="1:11" ht="7.5" customHeight="1" x14ac:dyDescent="0.35">
      <c r="A33" s="262"/>
      <c r="B33" s="265"/>
      <c r="C33" s="266"/>
      <c r="D33" s="266"/>
      <c r="E33" s="266"/>
      <c r="F33" s="266"/>
      <c r="G33" s="266"/>
      <c r="H33" s="266"/>
      <c r="I33" s="266"/>
      <c r="J33" s="266"/>
    </row>
    <row r="34" spans="1:11" x14ac:dyDescent="0.35">
      <c r="A34" s="262"/>
      <c r="B34" s="235" t="s">
        <v>322</v>
      </c>
      <c r="C34" s="268">
        <f>SUM(C26/C28)</f>
        <v>1.110666144268861</v>
      </c>
      <c r="D34" s="268"/>
      <c r="E34" s="268"/>
      <c r="F34" s="268"/>
      <c r="G34" s="268"/>
      <c r="H34" s="268"/>
      <c r="I34" s="268"/>
      <c r="J34" s="268"/>
    </row>
    <row r="35" spans="1:11" x14ac:dyDescent="0.35">
      <c r="A35" s="262"/>
    </row>
    <row r="36" spans="1:11" ht="18" x14ac:dyDescent="0.4">
      <c r="A36" s="338" t="s">
        <v>323</v>
      </c>
      <c r="B36" s="338"/>
      <c r="C36" s="338"/>
      <c r="D36" s="338"/>
      <c r="E36" s="338"/>
      <c r="F36" s="338"/>
      <c r="G36" s="338"/>
      <c r="H36" s="220"/>
      <c r="I36" s="220"/>
      <c r="J36" s="220"/>
      <c r="K36" s="220"/>
    </row>
    <row r="37" spans="1:11" ht="7.5" customHeight="1" x14ac:dyDescent="0.4">
      <c r="A37" s="262"/>
      <c r="H37" s="220"/>
      <c r="I37" s="220"/>
      <c r="J37" s="220"/>
      <c r="K37" s="220"/>
    </row>
    <row r="38" spans="1:11" ht="18" x14ac:dyDescent="0.4">
      <c r="A38" s="262"/>
      <c r="B38" s="269"/>
      <c r="C38" s="339" t="str">
        <f>"Est. Market Price ($/cwt Cdn) @ "&amp;TEXT(Input!D19,"0.0000")&amp;" Cdn per USD"</f>
        <v>Est. Market Price ($/cwt Cdn) @ 0.7500 Cdn per USD</v>
      </c>
      <c r="D38" s="340"/>
      <c r="E38" s="340"/>
      <c r="F38" s="340"/>
      <c r="G38" s="341"/>
      <c r="H38" s="220"/>
      <c r="I38" s="220"/>
      <c r="J38" s="220"/>
      <c r="K38" s="220"/>
    </row>
    <row r="39" spans="1:11" ht="18" x14ac:dyDescent="0.4">
      <c r="A39" s="262"/>
      <c r="C39" s="270">
        <f>SUM($E$39-10)</f>
        <v>238</v>
      </c>
      <c r="D39" s="271">
        <f>SUM($E$39-5)</f>
        <v>243</v>
      </c>
      <c r="E39" s="271">
        <f>Input!D18</f>
        <v>248</v>
      </c>
      <c r="F39" s="271">
        <f>SUM($E$39+5)</f>
        <v>253</v>
      </c>
      <c r="G39" s="272">
        <f>SUM($E$39+10)</f>
        <v>258</v>
      </c>
      <c r="H39" s="220"/>
      <c r="I39" s="220"/>
      <c r="J39" s="220"/>
      <c r="K39" s="220"/>
    </row>
    <row r="40" spans="1:11" ht="18" x14ac:dyDescent="0.4">
      <c r="A40" s="273" t="s">
        <v>324</v>
      </c>
      <c r="B40" s="241"/>
      <c r="C40" s="274"/>
      <c r="D40" s="275"/>
      <c r="E40" s="276"/>
      <c r="F40" s="275"/>
      <c r="G40" s="275"/>
      <c r="H40" s="220"/>
      <c r="I40" s="220"/>
      <c r="J40" s="220"/>
      <c r="K40" s="220"/>
    </row>
    <row r="41" spans="1:11" ht="18" x14ac:dyDescent="0.4">
      <c r="A41" s="233"/>
      <c r="B41" s="267" t="s">
        <v>71</v>
      </c>
      <c r="C41" s="277">
        <f>SUM((C39/100)*Breakeven!$E$46*Input!$D$19)/Summary!$F$25</f>
        <v>0.69366291324433704</v>
      </c>
      <c r="D41" s="277">
        <f>SUM((D39/100)*Breakeven!$E$46*Input!$D$19)/Summary!$F$25</f>
        <v>0.70823566352257961</v>
      </c>
      <c r="E41" s="278">
        <f>SUM((E39/100)*Breakeven!$E$46*Input!$D$19)/Summary!$F$25</f>
        <v>0.72280841380082195</v>
      </c>
      <c r="F41" s="277">
        <f>SUM((F39/100)*Breakeven!$E$46*Input!$D$19)/Summary!$F$25</f>
        <v>0.73738116407906418</v>
      </c>
      <c r="G41" s="277">
        <f>SUM((G39/100)*Breakeven!$E$46*Input!$D$19)/Summary!$F$25</f>
        <v>0.75195391435730674</v>
      </c>
      <c r="H41" s="220"/>
      <c r="I41" s="220"/>
      <c r="J41" s="220"/>
      <c r="K41" s="220"/>
    </row>
    <row r="42" spans="1:11" ht="18" x14ac:dyDescent="0.4">
      <c r="A42" s="233"/>
      <c r="B42" s="267" t="s">
        <v>280</v>
      </c>
      <c r="C42" s="277">
        <f>SUM((C39/100)*Breakeven!$E$46*Input!$D$19)/(Summary!$F$25+Summary!$F$36)</f>
        <v>0.68288829130933804</v>
      </c>
      <c r="D42" s="277">
        <f>SUM((D39/100)*Breakeven!$E$46*Input!$D$19)/(Summary!$F$25+Summary!$F$36)</f>
        <v>0.69723468398390409</v>
      </c>
      <c r="E42" s="278">
        <f>SUM((E39/100)*Breakeven!$E$46*Input!$D$19)/(Summary!$F$25+Summary!$F$36)</f>
        <v>0.71158107665847004</v>
      </c>
      <c r="F42" s="277">
        <f>SUM((F39/100)*Breakeven!$E$46*Input!$D$19)/(Summary!$F$25+Summary!$F$36)</f>
        <v>0.72592746933303587</v>
      </c>
      <c r="G42" s="277">
        <f>SUM((G39/100)*Breakeven!$E$46*Input!$D$19)/(Summary!$F$25+Summary!$F$36)</f>
        <v>0.74027386200760192</v>
      </c>
      <c r="H42" s="220"/>
      <c r="I42" s="220"/>
      <c r="J42" s="220"/>
      <c r="K42" s="220"/>
    </row>
    <row r="43" spans="1:11" ht="18" x14ac:dyDescent="0.4">
      <c r="A43" s="233"/>
      <c r="B43" s="267" t="s">
        <v>325</v>
      </c>
      <c r="C43" s="277">
        <f>SUM((C39/100)*Breakeven!$E$46*Input!$D$19)/(Summary!$F$25+Summary!$F$33+Summary!$F$36)</f>
        <v>0.67547580093752457</v>
      </c>
      <c r="D43" s="277">
        <f>SUM((D39/100)*Breakeven!$E$46*Input!$D$19)/(Summary!$F$25+Summary!$F$33+Summary!$F$36)</f>
        <v>0.6896664690244475</v>
      </c>
      <c r="E43" s="278">
        <f>SUM((E39/100)*Breakeven!$E$46*Input!$D$19)/(Summary!$F$25+Summary!$F$33+Summary!$F$36)</f>
        <v>0.70385713711137032</v>
      </c>
      <c r="F43" s="277">
        <f>SUM((F39/100)*Breakeven!$E$46*Input!$D$19)/(Summary!$F$25+Summary!$F$33+Summary!$F$36)</f>
        <v>0.71804780519829292</v>
      </c>
      <c r="G43" s="277">
        <f>SUM((G39/100)*Breakeven!$E$46*Input!$D$19)/(Summary!$F$25+Summary!$F$33+Summary!$F$36)</f>
        <v>0.73223847328521585</v>
      </c>
      <c r="H43" s="220"/>
      <c r="I43" s="220"/>
      <c r="J43" s="220"/>
      <c r="K43" s="220"/>
    </row>
    <row r="44" spans="1:11" ht="18" x14ac:dyDescent="0.4">
      <c r="A44" s="262"/>
      <c r="H44" s="220"/>
      <c r="I44" s="220"/>
      <c r="J44" s="220"/>
      <c r="K44" s="220"/>
    </row>
    <row r="45" spans="1:11" s="281" customFormat="1" x14ac:dyDescent="0.35">
      <c r="A45" s="279" t="str">
        <f>"Breakeven Canadian Dollar = (Est. Market Price ($/lb) x Shrunk Wt. (lbs) x $ Cdn per USD) / Cost"</f>
        <v>Breakeven Canadian Dollar = (Est. Market Price ($/lb) x Shrunk Wt. (lbs) x $ Cdn per USD) / Cost</v>
      </c>
      <c r="B45" s="280"/>
      <c r="C45" s="280"/>
      <c r="D45" s="280"/>
      <c r="E45" s="280"/>
      <c r="F45" s="280"/>
      <c r="G45" s="280"/>
      <c r="H45" s="280"/>
      <c r="I45" s="280"/>
      <c r="J45" s="280"/>
    </row>
    <row r="46" spans="1:11" s="281" customFormat="1" x14ac:dyDescent="0.35">
      <c r="A46" s="279" t="str">
        <f>"   (eg. ($"&amp;TEXT(E39/100,"0.00")&amp;" x "&amp;ROUND(Breakeven!E46,0)&amp;" lbs x $"&amp;TEXT(Input!D19,"0.0000")&amp;") / $"&amp;TEXT(Summary!F37,"0.00")&amp;") = $"&amp;TEXT(E43,"0.0000")</f>
        <v xml:space="preserve">   (eg. ($2.48 x 1330 lbs x $0.7500) / $3514.63) = $0.7039</v>
      </c>
      <c r="B46" s="280"/>
      <c r="C46" s="280"/>
      <c r="D46" s="280"/>
      <c r="E46" s="280"/>
      <c r="F46" s="280"/>
      <c r="G46" s="280"/>
      <c r="H46" s="280"/>
      <c r="I46" s="280"/>
      <c r="J46" s="280"/>
    </row>
    <row r="47" spans="1:11" ht="7.5" customHeight="1" x14ac:dyDescent="0.35">
      <c r="A47" s="282"/>
    </row>
    <row r="48" spans="1:11" ht="15" customHeight="1" x14ac:dyDescent="0.35">
      <c r="A48" s="342" t="s">
        <v>326</v>
      </c>
      <c r="B48" s="343"/>
      <c r="C48" s="343"/>
      <c r="D48" s="343"/>
      <c r="E48" s="343"/>
      <c r="F48" s="343"/>
      <c r="G48" s="343"/>
      <c r="H48" s="283"/>
      <c r="I48" s="283"/>
      <c r="J48" s="283"/>
    </row>
    <row r="49" spans="1:11" x14ac:dyDescent="0.35">
      <c r="A49" s="343"/>
      <c r="B49" s="343"/>
      <c r="C49" s="343"/>
      <c r="D49" s="343"/>
      <c r="E49" s="343"/>
      <c r="F49" s="343"/>
      <c r="G49" s="343"/>
      <c r="H49" s="283"/>
      <c r="I49" s="283"/>
      <c r="J49" s="283"/>
    </row>
    <row r="50" spans="1:11" x14ac:dyDescent="0.35">
      <c r="A50" s="343"/>
      <c r="B50" s="343"/>
      <c r="C50" s="343"/>
      <c r="D50" s="343"/>
      <c r="E50" s="343"/>
      <c r="F50" s="343"/>
      <c r="G50" s="343"/>
      <c r="H50" s="229"/>
      <c r="I50" s="229"/>
      <c r="J50" s="229"/>
    </row>
    <row r="51" spans="1:11" x14ac:dyDescent="0.35">
      <c r="A51" s="262"/>
    </row>
    <row r="52" spans="1:11" x14ac:dyDescent="0.35">
      <c r="A52" s="262"/>
    </row>
    <row r="53" spans="1:11" s="223" customFormat="1" x14ac:dyDescent="0.35">
      <c r="A53" s="262"/>
      <c r="K53" s="221"/>
    </row>
    <row r="54" spans="1:11" s="223" customFormat="1" x14ac:dyDescent="0.35">
      <c r="A54" s="262"/>
      <c r="K54" s="221"/>
    </row>
    <row r="55" spans="1:11" s="223" customFormat="1" x14ac:dyDescent="0.35">
      <c r="A55" s="262"/>
      <c r="K55" s="221"/>
    </row>
    <row r="56" spans="1:11" s="223" customFormat="1" x14ac:dyDescent="0.35">
      <c r="A56" s="262"/>
      <c r="K56" s="221"/>
    </row>
    <row r="57" spans="1:11" s="223" customFormat="1" x14ac:dyDescent="0.35">
      <c r="A57" s="262"/>
      <c r="K57" s="221"/>
    </row>
    <row r="58" spans="1:11" s="223" customFormat="1" x14ac:dyDescent="0.35">
      <c r="A58" s="262"/>
      <c r="K58" s="221"/>
    </row>
    <row r="59" spans="1:11" s="223" customFormat="1" x14ac:dyDescent="0.35">
      <c r="A59" s="262"/>
      <c r="K59" s="221"/>
    </row>
    <row r="60" spans="1:11" s="223" customFormat="1" x14ac:dyDescent="0.35">
      <c r="A60" s="262"/>
      <c r="K60" s="221"/>
    </row>
  </sheetData>
  <sheetProtection password="C6A6" sheet="1"/>
  <mergeCells count="4">
    <mergeCell ref="A1:G1"/>
    <mergeCell ref="A36:G36"/>
    <mergeCell ref="C38:G38"/>
    <mergeCell ref="A48:G50"/>
  </mergeCells>
  <pageMargins left="0.70866141732283472" right="0.70866141732283472" top="0.74803149606299213" bottom="0.74803149606299213" header="0.31496062992125984" footer="0.31496062992125984"/>
  <pageSetup scale="89" firstPageNumber="3" orientation="portrait" useFirstPageNumber="1" r:id="rId1"/>
  <headerFooter scaleWithDoc="0">
    <oddHeader>&amp;L&amp;9Guidelines: Feedlot Finishing Cattle Production Costs&amp;R&amp;10&amp;P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M137"/>
  <sheetViews>
    <sheetView showGridLines="0" zoomScaleNormal="100" workbookViewId="0"/>
  </sheetViews>
  <sheetFormatPr defaultColWidth="11.53515625" defaultRowHeight="15.5" x14ac:dyDescent="0.35"/>
  <cols>
    <col min="1" max="1" width="22.69140625" style="34" customWidth="1"/>
    <col min="2" max="2" width="9.4609375" style="34" customWidth="1"/>
    <col min="3" max="3" width="9.69140625" style="34" customWidth="1"/>
    <col min="4" max="4" width="12.69140625" style="34" customWidth="1"/>
    <col min="5" max="5" width="11.69140625" style="34" customWidth="1"/>
    <col min="6" max="6" width="2.23046875" style="34" customWidth="1"/>
    <col min="7" max="7" width="8.69140625" style="34" customWidth="1"/>
    <col min="8" max="8" width="5.765625" style="34" customWidth="1"/>
    <col min="9" max="10" width="11.53515625" style="34"/>
    <col min="11" max="13" width="11.53515625" style="308" hidden="1" customWidth="1"/>
    <col min="14" max="16384" width="11.53515625" style="34"/>
  </cols>
  <sheetData>
    <row r="1" spans="1:11" x14ac:dyDescent="0.35">
      <c r="K1" s="308" t="s">
        <v>353</v>
      </c>
    </row>
    <row r="2" spans="1:11" ht="18" x14ac:dyDescent="0.4">
      <c r="A2" s="344" t="s">
        <v>116</v>
      </c>
      <c r="B2" s="344"/>
      <c r="C2" s="344"/>
      <c r="D2" s="344"/>
      <c r="E2" s="344"/>
      <c r="F2" s="344"/>
      <c r="G2" s="344"/>
    </row>
    <row r="5" spans="1:11" x14ac:dyDescent="0.35">
      <c r="A5" s="35" t="s">
        <v>117</v>
      </c>
    </row>
    <row r="6" spans="1:11" x14ac:dyDescent="0.35">
      <c r="A6" s="34" t="s">
        <v>179</v>
      </c>
    </row>
    <row r="7" spans="1:11" x14ac:dyDescent="0.35">
      <c r="A7" s="34" t="s">
        <v>180</v>
      </c>
    </row>
    <row r="8" spans="1:11" x14ac:dyDescent="0.35">
      <c r="A8" s="34" t="s">
        <v>1</v>
      </c>
    </row>
    <row r="11" spans="1:11" x14ac:dyDescent="0.35">
      <c r="A11" s="12" t="s">
        <v>181</v>
      </c>
      <c r="D11" s="36" t="s">
        <v>76</v>
      </c>
    </row>
    <row r="12" spans="1:11" x14ac:dyDescent="0.35">
      <c r="A12" s="13"/>
    </row>
    <row r="13" spans="1:11" x14ac:dyDescent="0.35">
      <c r="A13" s="13" t="s">
        <v>2</v>
      </c>
      <c r="D13" s="71">
        <v>500</v>
      </c>
      <c r="E13" s="37" t="s">
        <v>3</v>
      </c>
      <c r="F13" s="37"/>
    </row>
    <row r="14" spans="1:11" x14ac:dyDescent="0.35">
      <c r="A14" s="13" t="s">
        <v>182</v>
      </c>
      <c r="D14" s="73">
        <v>2</v>
      </c>
      <c r="E14" s="37" t="s">
        <v>4</v>
      </c>
      <c r="F14" s="37"/>
    </row>
    <row r="15" spans="1:11" x14ac:dyDescent="0.35">
      <c r="A15" s="13" t="s">
        <v>183</v>
      </c>
      <c r="D15" s="71">
        <v>650</v>
      </c>
      <c r="E15" s="37" t="s">
        <v>5</v>
      </c>
      <c r="F15" s="37"/>
    </row>
    <row r="16" spans="1:11" x14ac:dyDescent="0.35">
      <c r="A16" s="13" t="s">
        <v>184</v>
      </c>
      <c r="D16" s="207">
        <v>350</v>
      </c>
      <c r="E16" s="37" t="s">
        <v>210</v>
      </c>
      <c r="F16" s="37"/>
    </row>
    <row r="17" spans="1:13" x14ac:dyDescent="0.35">
      <c r="A17" s="13" t="s">
        <v>185</v>
      </c>
      <c r="D17" s="71">
        <v>1400</v>
      </c>
      <c r="E17" s="37" t="s">
        <v>5</v>
      </c>
      <c r="F17" s="37"/>
    </row>
    <row r="18" spans="1:13" x14ac:dyDescent="0.35">
      <c r="A18" s="13" t="s">
        <v>186</v>
      </c>
      <c r="D18" s="207">
        <v>248</v>
      </c>
      <c r="E18" s="37" t="s">
        <v>210</v>
      </c>
      <c r="F18" s="37"/>
    </row>
    <row r="19" spans="1:13" s="287" customFormat="1" x14ac:dyDescent="0.35">
      <c r="A19" s="284" t="s">
        <v>327</v>
      </c>
      <c r="B19" s="284"/>
      <c r="C19" s="285" t="str">
        <f>"($"&amp;TEXT(1/D19,"#.####")&amp;" CDN )"</f>
        <v>($1.3333 CDN )</v>
      </c>
      <c r="D19" s="320">
        <v>0.75</v>
      </c>
      <c r="E19" s="286" t="s">
        <v>328</v>
      </c>
      <c r="H19" s="284"/>
      <c r="K19" s="309"/>
      <c r="L19" s="309"/>
      <c r="M19" s="309"/>
    </row>
    <row r="20" spans="1:13" s="13" customFormat="1" x14ac:dyDescent="0.35">
      <c r="A20" s="26" t="s">
        <v>296</v>
      </c>
      <c r="D20" s="208">
        <v>0</v>
      </c>
      <c r="E20" s="209" t="s">
        <v>210</v>
      </c>
      <c r="F20" s="209"/>
      <c r="K20" s="310"/>
      <c r="L20" s="310"/>
      <c r="M20" s="310"/>
    </row>
    <row r="21" spans="1:13" x14ac:dyDescent="0.35">
      <c r="A21" s="13" t="s">
        <v>187</v>
      </c>
      <c r="D21" s="73">
        <v>5</v>
      </c>
      <c r="E21" s="37" t="s">
        <v>4</v>
      </c>
      <c r="F21" s="37"/>
    </row>
    <row r="22" spans="1:13" x14ac:dyDescent="0.35">
      <c r="A22" s="13" t="s">
        <v>188</v>
      </c>
      <c r="D22" s="73">
        <v>0</v>
      </c>
      <c r="E22" s="37" t="s">
        <v>4</v>
      </c>
      <c r="F22" s="37"/>
    </row>
    <row r="23" spans="1:13" x14ac:dyDescent="0.35">
      <c r="A23" s="13" t="s">
        <v>189</v>
      </c>
      <c r="D23" s="73">
        <v>3.25</v>
      </c>
      <c r="E23" s="37" t="s">
        <v>6</v>
      </c>
      <c r="F23" s="37"/>
      <c r="G23" s="54"/>
    </row>
    <row r="24" spans="1:13" x14ac:dyDescent="0.35">
      <c r="A24" s="34" t="s">
        <v>8</v>
      </c>
      <c r="D24" s="74">
        <f>ROUND((D17-(D15-(D15*D22/100)))/D23,0)</f>
        <v>231</v>
      </c>
      <c r="E24" s="37" t="s">
        <v>9</v>
      </c>
      <c r="F24" s="37"/>
    </row>
    <row r="26" spans="1:13" x14ac:dyDescent="0.35">
      <c r="A26" s="34" t="s">
        <v>118</v>
      </c>
    </row>
    <row r="28" spans="1:13" x14ac:dyDescent="0.35">
      <c r="C28" s="35"/>
      <c r="D28" s="345" t="s">
        <v>10</v>
      </c>
      <c r="E28" s="345"/>
      <c r="F28" s="39"/>
      <c r="G28" s="40" t="s">
        <v>154</v>
      </c>
    </row>
    <row r="29" spans="1:13" x14ac:dyDescent="0.35">
      <c r="A29" s="12" t="s">
        <v>66</v>
      </c>
      <c r="B29" s="36" t="s">
        <v>165</v>
      </c>
      <c r="D29" s="345" t="s">
        <v>119</v>
      </c>
      <c r="E29" s="346"/>
      <c r="F29" s="41"/>
      <c r="G29" s="36" t="s">
        <v>155</v>
      </c>
    </row>
    <row r="30" spans="1:13" x14ac:dyDescent="0.35">
      <c r="A30" s="13"/>
      <c r="E30" s="37"/>
      <c r="F30" s="37"/>
    </row>
    <row r="31" spans="1:13" x14ac:dyDescent="0.35">
      <c r="A31" s="13" t="s">
        <v>190</v>
      </c>
      <c r="B31" s="321">
        <v>6.25</v>
      </c>
      <c r="C31" s="23" t="s">
        <v>80</v>
      </c>
      <c r="D31" s="73">
        <v>18.5</v>
      </c>
      <c r="E31" s="37" t="s">
        <v>11</v>
      </c>
      <c r="F31" s="37"/>
      <c r="G31" s="74">
        <f>D24</f>
        <v>231</v>
      </c>
    </row>
    <row r="32" spans="1:13" x14ac:dyDescent="0.35">
      <c r="A32" s="13" t="s">
        <v>191</v>
      </c>
      <c r="B32" s="321">
        <v>55</v>
      </c>
      <c r="C32" s="23" t="s">
        <v>83</v>
      </c>
      <c r="D32" s="73">
        <v>12.5</v>
      </c>
      <c r="E32" s="37" t="s">
        <v>11</v>
      </c>
      <c r="F32" s="37"/>
      <c r="G32" s="74">
        <f>D24</f>
        <v>231</v>
      </c>
    </row>
    <row r="33" spans="1:7" x14ac:dyDescent="0.35">
      <c r="A33" s="54" t="s">
        <v>351</v>
      </c>
      <c r="B33" s="207">
        <v>120</v>
      </c>
      <c r="C33" s="23" t="s">
        <v>83</v>
      </c>
      <c r="D33" s="73">
        <v>5</v>
      </c>
      <c r="E33" s="37" t="s">
        <v>11</v>
      </c>
      <c r="F33" s="37"/>
      <c r="G33" s="71">
        <v>15</v>
      </c>
    </row>
    <row r="34" spans="1:7" x14ac:dyDescent="0.35">
      <c r="A34" s="34" t="s">
        <v>250</v>
      </c>
      <c r="B34" s="207">
        <v>500</v>
      </c>
      <c r="C34" s="171" t="s">
        <v>258</v>
      </c>
      <c r="D34" s="73">
        <v>1</v>
      </c>
      <c r="E34" s="37" t="s">
        <v>11</v>
      </c>
      <c r="F34" s="37"/>
      <c r="G34" s="74">
        <f>D24</f>
        <v>231</v>
      </c>
    </row>
    <row r="35" spans="1:7" x14ac:dyDescent="0.35">
      <c r="A35" s="34" t="s">
        <v>12</v>
      </c>
      <c r="B35" s="72">
        <v>0</v>
      </c>
      <c r="D35" s="73">
        <v>0</v>
      </c>
      <c r="E35" s="37" t="s">
        <v>11</v>
      </c>
      <c r="F35" s="37"/>
      <c r="G35" s="127"/>
    </row>
    <row r="36" spans="1:7" x14ac:dyDescent="0.35">
      <c r="A36" s="34" t="s">
        <v>226</v>
      </c>
      <c r="B36" s="72">
        <v>0</v>
      </c>
      <c r="C36" s="34" t="s">
        <v>70</v>
      </c>
      <c r="D36" s="73">
        <v>0</v>
      </c>
      <c r="E36" s="37" t="s">
        <v>115</v>
      </c>
      <c r="F36" s="37"/>
      <c r="G36" s="127"/>
    </row>
    <row r="38" spans="1:7" x14ac:dyDescent="0.35">
      <c r="A38" s="34" t="s">
        <v>120</v>
      </c>
    </row>
    <row r="39" spans="1:7" x14ac:dyDescent="0.35">
      <c r="A39" s="34" t="s">
        <v>121</v>
      </c>
    </row>
    <row r="40" spans="1:7" x14ac:dyDescent="0.35">
      <c r="A40" s="34" t="s">
        <v>122</v>
      </c>
    </row>
    <row r="42" spans="1:7" x14ac:dyDescent="0.35">
      <c r="A42" s="12" t="s">
        <v>192</v>
      </c>
      <c r="E42" s="42" t="s">
        <v>76</v>
      </c>
    </row>
    <row r="43" spans="1:7" x14ac:dyDescent="0.35">
      <c r="A43" s="12"/>
      <c r="E43" s="42"/>
    </row>
    <row r="44" spans="1:7" x14ac:dyDescent="0.35">
      <c r="A44" s="35" t="s">
        <v>267</v>
      </c>
      <c r="E44" s="72"/>
      <c r="G44" s="23"/>
    </row>
    <row r="45" spans="1:7" x14ac:dyDescent="0.35">
      <c r="A45" s="34" t="s">
        <v>211</v>
      </c>
      <c r="E45" s="72">
        <v>1</v>
      </c>
      <c r="G45" s="23" t="s">
        <v>209</v>
      </c>
    </row>
    <row r="46" spans="1:7" x14ac:dyDescent="0.35">
      <c r="A46" s="34" t="s">
        <v>212</v>
      </c>
      <c r="C46" s="34" t="s">
        <v>0</v>
      </c>
      <c r="D46" s="34" t="s">
        <v>0</v>
      </c>
      <c r="E46" s="207">
        <v>1.75</v>
      </c>
      <c r="G46" s="23" t="s">
        <v>208</v>
      </c>
    </row>
    <row r="47" spans="1:7" x14ac:dyDescent="0.35">
      <c r="A47" s="34" t="s">
        <v>214</v>
      </c>
      <c r="E47" s="72">
        <v>1.7</v>
      </c>
      <c r="F47" s="38"/>
      <c r="G47" s="23" t="s">
        <v>209</v>
      </c>
    </row>
    <row r="48" spans="1:7" x14ac:dyDescent="0.35">
      <c r="F48" s="42"/>
      <c r="G48" s="43" t="s">
        <v>0</v>
      </c>
    </row>
    <row r="49" spans="1:8" x14ac:dyDescent="0.35">
      <c r="A49" s="12" t="s">
        <v>123</v>
      </c>
      <c r="C49" s="34" t="s">
        <v>0</v>
      </c>
      <c r="D49" s="34" t="s">
        <v>0</v>
      </c>
      <c r="E49" s="37"/>
      <c r="F49" s="37"/>
      <c r="G49" s="43" t="s">
        <v>0</v>
      </c>
    </row>
    <row r="50" spans="1:8" x14ac:dyDescent="0.35">
      <c r="A50" s="13" t="s">
        <v>193</v>
      </c>
      <c r="E50" s="112">
        <v>0.5</v>
      </c>
      <c r="G50" s="22" t="s">
        <v>204</v>
      </c>
    </row>
    <row r="51" spans="1:8" x14ac:dyDescent="0.35">
      <c r="A51" s="13" t="s">
        <v>194</v>
      </c>
      <c r="C51" s="34" t="s">
        <v>0</v>
      </c>
      <c r="D51" s="34" t="s">
        <v>0</v>
      </c>
      <c r="E51" s="103">
        <v>70</v>
      </c>
      <c r="G51" s="23" t="s">
        <v>83</v>
      </c>
    </row>
    <row r="52" spans="1:8" x14ac:dyDescent="0.35">
      <c r="A52" s="34" t="s">
        <v>0</v>
      </c>
      <c r="C52" s="34" t="s">
        <v>0</v>
      </c>
      <c r="D52" s="34" t="s">
        <v>0</v>
      </c>
      <c r="E52" s="37" t="s">
        <v>0</v>
      </c>
      <c r="G52" s="24"/>
    </row>
    <row r="53" spans="1:8" x14ac:dyDescent="0.35">
      <c r="A53" s="35" t="s">
        <v>124</v>
      </c>
      <c r="D53" s="34" t="s">
        <v>0</v>
      </c>
      <c r="E53" s="37" t="s">
        <v>0</v>
      </c>
      <c r="G53" s="24"/>
    </row>
    <row r="54" spans="1:8" x14ac:dyDescent="0.35">
      <c r="A54" s="35" t="s">
        <v>125</v>
      </c>
      <c r="C54" s="34" t="s">
        <v>0</v>
      </c>
      <c r="D54" s="34" t="s">
        <v>0</v>
      </c>
      <c r="G54" s="24"/>
    </row>
    <row r="55" spans="1:8" x14ac:dyDescent="0.35">
      <c r="A55" s="34" t="s">
        <v>251</v>
      </c>
      <c r="D55" s="128"/>
      <c r="E55" s="72">
        <v>6</v>
      </c>
      <c r="G55" s="192"/>
      <c r="H55" s="124"/>
    </row>
    <row r="56" spans="1:8" x14ac:dyDescent="0.35">
      <c r="A56" s="34" t="s">
        <v>13</v>
      </c>
      <c r="C56" s="34" t="s">
        <v>0</v>
      </c>
      <c r="D56" s="128"/>
      <c r="E56" s="72">
        <v>0.5</v>
      </c>
      <c r="G56" s="192"/>
    </row>
    <row r="57" spans="1:8" x14ac:dyDescent="0.35">
      <c r="A57" s="34" t="s">
        <v>14</v>
      </c>
      <c r="D57" s="128"/>
      <c r="E57" s="72">
        <v>0.96</v>
      </c>
      <c r="G57" s="192"/>
    </row>
    <row r="58" spans="1:8" x14ac:dyDescent="0.35">
      <c r="A58" s="34" t="s">
        <v>252</v>
      </c>
      <c r="C58" s="34" t="s">
        <v>0</v>
      </c>
      <c r="D58" s="128"/>
      <c r="E58" s="72">
        <v>1.65</v>
      </c>
      <c r="G58" s="192"/>
    </row>
    <row r="59" spans="1:8" x14ac:dyDescent="0.35">
      <c r="A59" s="34" t="s">
        <v>15</v>
      </c>
      <c r="C59" s="34" t="s">
        <v>0</v>
      </c>
      <c r="D59" s="128"/>
      <c r="E59" s="72">
        <v>3.42</v>
      </c>
      <c r="G59" s="192"/>
    </row>
    <row r="60" spans="1:8" x14ac:dyDescent="0.35">
      <c r="A60" s="34" t="s">
        <v>16</v>
      </c>
      <c r="D60" s="128"/>
      <c r="E60" s="72">
        <v>15</v>
      </c>
      <c r="G60" s="193"/>
    </row>
    <row r="61" spans="1:8" x14ac:dyDescent="0.35">
      <c r="G61" s="188"/>
    </row>
    <row r="62" spans="1:8" x14ac:dyDescent="0.35">
      <c r="A62" s="35" t="s">
        <v>126</v>
      </c>
      <c r="C62" s="34" t="s">
        <v>0</v>
      </c>
      <c r="D62" s="34" t="s">
        <v>0</v>
      </c>
      <c r="E62" s="37" t="s">
        <v>0</v>
      </c>
      <c r="G62" s="188"/>
    </row>
    <row r="63" spans="1:8" x14ac:dyDescent="0.35">
      <c r="A63" s="35" t="s">
        <v>127</v>
      </c>
      <c r="C63" s="34" t="s">
        <v>0</v>
      </c>
      <c r="D63" s="34" t="s">
        <v>0</v>
      </c>
      <c r="E63" s="37" t="s">
        <v>0</v>
      </c>
      <c r="G63" s="189"/>
    </row>
    <row r="64" spans="1:8" x14ac:dyDescent="0.35">
      <c r="A64" s="34" t="s">
        <v>17</v>
      </c>
      <c r="C64" s="34" t="s">
        <v>0</v>
      </c>
      <c r="D64" s="34" t="s">
        <v>0</v>
      </c>
      <c r="E64" s="73">
        <v>2</v>
      </c>
      <c r="G64" s="190" t="s">
        <v>95</v>
      </c>
    </row>
    <row r="65" spans="1:13" x14ac:dyDescent="0.35">
      <c r="A65" s="34" t="s">
        <v>18</v>
      </c>
      <c r="C65" s="34" t="s">
        <v>0</v>
      </c>
      <c r="D65" s="34" t="s">
        <v>0</v>
      </c>
      <c r="E65" s="72">
        <v>160</v>
      </c>
      <c r="G65" s="171" t="s">
        <v>114</v>
      </c>
    </row>
    <row r="66" spans="1:13" x14ac:dyDescent="0.35">
      <c r="A66" s="35" t="s">
        <v>128</v>
      </c>
      <c r="C66" s="34" t="s">
        <v>0</v>
      </c>
      <c r="D66" s="34" t="s">
        <v>0</v>
      </c>
      <c r="E66" s="37" t="s">
        <v>0</v>
      </c>
      <c r="G66" s="189"/>
    </row>
    <row r="67" spans="1:13" x14ac:dyDescent="0.35">
      <c r="A67" s="34" t="s">
        <v>19</v>
      </c>
      <c r="D67" s="34" t="s">
        <v>0</v>
      </c>
      <c r="E67" s="73">
        <v>80</v>
      </c>
      <c r="G67" s="190" t="s">
        <v>205</v>
      </c>
    </row>
    <row r="68" spans="1:13" x14ac:dyDescent="0.35">
      <c r="A68" s="34" t="s">
        <v>20</v>
      </c>
      <c r="C68" s="34" t="s">
        <v>0</v>
      </c>
      <c r="D68" s="34" t="s">
        <v>0</v>
      </c>
      <c r="E68" s="207">
        <v>1</v>
      </c>
      <c r="G68" s="171" t="s">
        <v>206</v>
      </c>
    </row>
    <row r="69" spans="1:13" x14ac:dyDescent="0.35">
      <c r="A69" s="34" t="s">
        <v>21</v>
      </c>
      <c r="C69" s="34" t="s">
        <v>0</v>
      </c>
      <c r="D69" s="34" t="s">
        <v>0</v>
      </c>
      <c r="E69" s="113">
        <v>2</v>
      </c>
      <c r="G69" s="191"/>
    </row>
    <row r="70" spans="1:13" x14ac:dyDescent="0.35">
      <c r="G70" s="26"/>
    </row>
    <row r="71" spans="1:13" x14ac:dyDescent="0.35">
      <c r="A71" s="35" t="s">
        <v>129</v>
      </c>
      <c r="G71" s="23"/>
    </row>
    <row r="72" spans="1:13" s="288" customFormat="1" x14ac:dyDescent="0.35">
      <c r="A72" s="27" t="s">
        <v>329</v>
      </c>
      <c r="B72" s="43"/>
      <c r="C72" s="43"/>
      <c r="D72" s="43"/>
      <c r="E72" s="24"/>
      <c r="H72" s="24"/>
      <c r="I72" s="43"/>
      <c r="K72" s="311"/>
      <c r="L72" s="311"/>
      <c r="M72" s="311"/>
    </row>
    <row r="73" spans="1:13" s="288" customFormat="1" x14ac:dyDescent="0.35">
      <c r="A73" s="27" t="s">
        <v>330</v>
      </c>
      <c r="E73" s="289">
        <v>120</v>
      </c>
      <c r="H73" s="24"/>
      <c r="I73" s="43"/>
      <c r="K73" s="311"/>
      <c r="L73" s="311"/>
      <c r="M73" s="311"/>
    </row>
    <row r="74" spans="1:13" s="288" customFormat="1" x14ac:dyDescent="0.35">
      <c r="A74" s="27" t="s">
        <v>331</v>
      </c>
      <c r="E74" s="322">
        <v>1.4</v>
      </c>
      <c r="F74" s="129" t="s">
        <v>332</v>
      </c>
      <c r="H74" s="24"/>
      <c r="I74" s="43"/>
      <c r="K74" s="311"/>
      <c r="L74" s="311"/>
      <c r="M74" s="311"/>
    </row>
    <row r="75" spans="1:13" s="288" customFormat="1" x14ac:dyDescent="0.35">
      <c r="A75" s="27" t="s">
        <v>333</v>
      </c>
      <c r="C75" s="43"/>
      <c r="E75" s="290">
        <v>1.5</v>
      </c>
      <c r="F75" s="129" t="s">
        <v>95</v>
      </c>
      <c r="H75" s="24"/>
      <c r="I75" s="43"/>
      <c r="K75" s="311"/>
      <c r="L75" s="311"/>
      <c r="M75" s="311"/>
    </row>
    <row r="76" spans="1:13" s="288" customFormat="1" x14ac:dyDescent="0.35">
      <c r="A76" s="27" t="s">
        <v>334</v>
      </c>
      <c r="B76" s="43"/>
      <c r="C76" s="43"/>
      <c r="E76" s="291">
        <v>1.2</v>
      </c>
      <c r="F76" s="129" t="s">
        <v>215</v>
      </c>
      <c r="H76" s="24"/>
      <c r="I76" s="43"/>
      <c r="K76" s="311"/>
      <c r="L76" s="311"/>
      <c r="M76" s="311"/>
    </row>
    <row r="77" spans="1:13" s="288" customFormat="1" x14ac:dyDescent="0.35">
      <c r="A77" s="27" t="s">
        <v>335</v>
      </c>
      <c r="B77" s="43"/>
      <c r="C77" s="43"/>
      <c r="E77" s="291">
        <v>2.2000000000000002</v>
      </c>
      <c r="F77" s="129" t="s">
        <v>215</v>
      </c>
      <c r="H77" s="24"/>
      <c r="I77" s="43"/>
      <c r="K77" s="311"/>
      <c r="L77" s="311"/>
      <c r="M77" s="311"/>
    </row>
    <row r="78" spans="1:13" x14ac:dyDescent="0.35">
      <c r="A78" s="34" t="s">
        <v>0</v>
      </c>
      <c r="C78" s="34" t="s">
        <v>0</v>
      </c>
      <c r="D78" s="34" t="s">
        <v>0</v>
      </c>
      <c r="G78" s="23"/>
    </row>
    <row r="79" spans="1:13" x14ac:dyDescent="0.35">
      <c r="A79" s="35" t="s">
        <v>130</v>
      </c>
      <c r="E79" s="37" t="s">
        <v>0</v>
      </c>
      <c r="G79" s="23"/>
    </row>
    <row r="80" spans="1:13" s="214" customFormat="1" ht="15.75" customHeight="1" x14ac:dyDescent="0.35">
      <c r="A80" s="214" t="s">
        <v>299</v>
      </c>
      <c r="E80" s="323">
        <v>9.3240000000000003E-2</v>
      </c>
      <c r="F80" s="214" t="s">
        <v>300</v>
      </c>
      <c r="K80" s="312"/>
      <c r="L80" s="312"/>
      <c r="M80" s="312"/>
    </row>
    <row r="81" spans="1:13" s="214" customFormat="1" ht="15.75" customHeight="1" x14ac:dyDescent="0.35">
      <c r="B81" s="215">
        <v>18</v>
      </c>
      <c r="C81" s="214" t="s">
        <v>301</v>
      </c>
      <c r="E81" s="216">
        <f>SUM(B81*D24*E80)</f>
        <v>387.69192000000004</v>
      </c>
      <c r="K81" s="312"/>
      <c r="L81" s="312"/>
      <c r="M81" s="312"/>
    </row>
    <row r="82" spans="1:13" s="214" customFormat="1" ht="15.75" customHeight="1" x14ac:dyDescent="0.35">
      <c r="B82" s="215">
        <v>3</v>
      </c>
      <c r="C82" s="214" t="s">
        <v>302</v>
      </c>
      <c r="E82" s="217">
        <f>SUM(B82*18)*(D13)*E80</f>
        <v>2517.48</v>
      </c>
      <c r="K82" s="312"/>
      <c r="L82" s="312"/>
      <c r="M82" s="312"/>
    </row>
    <row r="83" spans="1:13" s="214" customFormat="1" ht="15.75" customHeight="1" x14ac:dyDescent="0.35">
      <c r="B83" s="215"/>
      <c r="D83" s="214" t="s">
        <v>303</v>
      </c>
      <c r="E83" s="218">
        <f>SUM(E81:E82)</f>
        <v>2905.1719200000002</v>
      </c>
      <c r="K83" s="312"/>
      <c r="L83" s="312"/>
      <c r="M83" s="312"/>
    </row>
    <row r="84" spans="1:13" s="43" customFormat="1" x14ac:dyDescent="0.35">
      <c r="A84" s="214" t="s">
        <v>304</v>
      </c>
      <c r="E84" s="219">
        <v>600</v>
      </c>
      <c r="K84" s="313"/>
      <c r="L84" s="313"/>
      <c r="M84" s="313"/>
    </row>
    <row r="85" spans="1:13" x14ac:dyDescent="0.35">
      <c r="E85" s="72"/>
      <c r="G85" s="26"/>
    </row>
    <row r="86" spans="1:13" x14ac:dyDescent="0.35">
      <c r="A86" s="35" t="s">
        <v>263</v>
      </c>
      <c r="G86" s="21"/>
    </row>
    <row r="87" spans="1:13" x14ac:dyDescent="0.35">
      <c r="A87" s="35" t="s">
        <v>131</v>
      </c>
      <c r="E87" s="37" t="s">
        <v>0</v>
      </c>
    </row>
    <row r="88" spans="1:13" x14ac:dyDescent="0.35">
      <c r="A88" s="13" t="s">
        <v>195</v>
      </c>
      <c r="E88" s="71">
        <v>700</v>
      </c>
      <c r="G88" s="27" t="s">
        <v>100</v>
      </c>
    </row>
    <row r="89" spans="1:13" x14ac:dyDescent="0.35">
      <c r="A89" s="13" t="s">
        <v>196</v>
      </c>
      <c r="E89" s="72">
        <v>6.5</v>
      </c>
      <c r="G89" s="23" t="s">
        <v>207</v>
      </c>
    </row>
    <row r="90" spans="1:13" x14ac:dyDescent="0.35">
      <c r="A90" s="13" t="s">
        <v>253</v>
      </c>
      <c r="E90" s="104">
        <v>54000</v>
      </c>
      <c r="G90" s="23" t="s">
        <v>254</v>
      </c>
    </row>
    <row r="91" spans="1:13" x14ac:dyDescent="0.35">
      <c r="A91" s="13" t="s">
        <v>22</v>
      </c>
      <c r="E91" s="105">
        <f>E90/D17</f>
        <v>38.571428571428569</v>
      </c>
      <c r="G91" s="25" t="s">
        <v>234</v>
      </c>
    </row>
    <row r="92" spans="1:13" x14ac:dyDescent="0.35">
      <c r="A92" s="34" t="s">
        <v>213</v>
      </c>
      <c r="E92" s="72">
        <v>0</v>
      </c>
      <c r="G92" s="23" t="s">
        <v>208</v>
      </c>
    </row>
    <row r="93" spans="1:13" x14ac:dyDescent="0.35">
      <c r="A93" s="35" t="s">
        <v>264</v>
      </c>
      <c r="E93" s="37" t="s">
        <v>0</v>
      </c>
    </row>
    <row r="94" spans="1:13" x14ac:dyDescent="0.35">
      <c r="A94" s="54" t="s">
        <v>352</v>
      </c>
      <c r="E94" s="72">
        <v>5.5</v>
      </c>
      <c r="G94" s="23" t="s">
        <v>208</v>
      </c>
    </row>
    <row r="95" spans="1:13" x14ac:dyDescent="0.35">
      <c r="A95" s="13"/>
      <c r="E95" s="72"/>
      <c r="G95" s="25"/>
    </row>
    <row r="96" spans="1:13" x14ac:dyDescent="0.35">
      <c r="A96" s="35" t="s">
        <v>132</v>
      </c>
      <c r="C96" s="34" t="s">
        <v>0</v>
      </c>
      <c r="D96" s="34" t="s">
        <v>0</v>
      </c>
      <c r="E96" s="37" t="s">
        <v>0</v>
      </c>
      <c r="F96" s="37"/>
      <c r="G96" s="43" t="s">
        <v>0</v>
      </c>
    </row>
    <row r="97" spans="1:6" x14ac:dyDescent="0.35">
      <c r="A97" s="34" t="s">
        <v>23</v>
      </c>
      <c r="E97" s="72">
        <v>7000</v>
      </c>
      <c r="F97" s="38"/>
    </row>
    <row r="99" spans="1:6" x14ac:dyDescent="0.35">
      <c r="A99" s="35" t="s">
        <v>133</v>
      </c>
    </row>
    <row r="100" spans="1:6" x14ac:dyDescent="0.35">
      <c r="A100" s="34" t="s">
        <v>24</v>
      </c>
    </row>
    <row r="101" spans="1:6" x14ac:dyDescent="0.35">
      <c r="A101" s="13" t="s">
        <v>197</v>
      </c>
      <c r="D101" s="128"/>
      <c r="E101" s="72">
        <v>0</v>
      </c>
      <c r="F101" s="38"/>
    </row>
    <row r="102" spans="1:6" x14ac:dyDescent="0.35">
      <c r="A102" s="13" t="s">
        <v>198</v>
      </c>
      <c r="E102" s="103">
        <v>0.4</v>
      </c>
      <c r="F102" s="38"/>
    </row>
    <row r="103" spans="1:6" x14ac:dyDescent="0.35">
      <c r="A103" s="34" t="s">
        <v>25</v>
      </c>
      <c r="E103" s="103">
        <v>49</v>
      </c>
      <c r="F103" s="38"/>
    </row>
    <row r="105" spans="1:6" x14ac:dyDescent="0.35">
      <c r="A105" s="35" t="s">
        <v>134</v>
      </c>
    </row>
    <row r="106" spans="1:6" x14ac:dyDescent="0.35">
      <c r="A106" s="34" t="s">
        <v>26</v>
      </c>
      <c r="E106" s="72">
        <v>900</v>
      </c>
      <c r="F106" s="38"/>
    </row>
    <row r="108" spans="1:6" x14ac:dyDescent="0.35">
      <c r="A108" s="12" t="s">
        <v>199</v>
      </c>
      <c r="E108" s="324">
        <v>9</v>
      </c>
      <c r="F108" s="20" t="s">
        <v>215</v>
      </c>
    </row>
    <row r="109" spans="1:6" x14ac:dyDescent="0.35">
      <c r="A109" s="12" t="s">
        <v>200</v>
      </c>
      <c r="E109" s="324">
        <v>4</v>
      </c>
      <c r="F109" s="20" t="s">
        <v>215</v>
      </c>
    </row>
    <row r="111" spans="1:6" x14ac:dyDescent="0.35">
      <c r="A111" s="34" t="s">
        <v>135</v>
      </c>
    </row>
    <row r="113" spans="1:8" x14ac:dyDescent="0.35">
      <c r="A113" s="12" t="s">
        <v>168</v>
      </c>
    </row>
    <row r="114" spans="1:8" x14ac:dyDescent="0.35">
      <c r="D114" s="14" t="s">
        <v>136</v>
      </c>
      <c r="E114" s="13"/>
      <c r="F114" s="15" t="s">
        <v>138</v>
      </c>
      <c r="G114" s="16" t="s">
        <v>139</v>
      </c>
    </row>
    <row r="115" spans="1:8" x14ac:dyDescent="0.35">
      <c r="A115" s="35" t="s">
        <v>27</v>
      </c>
      <c r="D115" s="17" t="s">
        <v>137</v>
      </c>
      <c r="E115" s="13"/>
      <c r="F115" s="18" t="s">
        <v>137</v>
      </c>
      <c r="G115" s="19" t="s">
        <v>140</v>
      </c>
    </row>
    <row r="116" spans="1:8" x14ac:dyDescent="0.35">
      <c r="A116" s="34" t="s">
        <v>28</v>
      </c>
      <c r="D116" s="155">
        <v>7350</v>
      </c>
      <c r="E116" s="71">
        <v>10</v>
      </c>
      <c r="F116" s="20" t="s">
        <v>215</v>
      </c>
      <c r="G116" s="71">
        <v>20</v>
      </c>
      <c r="H116" s="34" t="s">
        <v>216</v>
      </c>
    </row>
    <row r="117" spans="1:8" x14ac:dyDescent="0.35">
      <c r="A117" s="34" t="s">
        <v>29</v>
      </c>
      <c r="D117" s="155">
        <v>4540</v>
      </c>
      <c r="E117" s="71">
        <v>10</v>
      </c>
      <c r="F117" s="20" t="s">
        <v>215</v>
      </c>
      <c r="G117" s="71">
        <v>20</v>
      </c>
      <c r="H117" s="34" t="s">
        <v>216</v>
      </c>
    </row>
    <row r="118" spans="1:8" x14ac:dyDescent="0.35">
      <c r="A118" s="34" t="s">
        <v>30</v>
      </c>
      <c r="D118" s="155">
        <v>0</v>
      </c>
      <c r="E118" s="71">
        <v>10</v>
      </c>
      <c r="F118" s="20" t="s">
        <v>215</v>
      </c>
      <c r="G118" s="71">
        <v>20</v>
      </c>
      <c r="H118" s="34" t="s">
        <v>216</v>
      </c>
    </row>
    <row r="119" spans="1:8" x14ac:dyDescent="0.35">
      <c r="A119" s="34" t="s">
        <v>31</v>
      </c>
      <c r="D119" s="155">
        <v>7500</v>
      </c>
      <c r="E119" s="71">
        <v>10</v>
      </c>
      <c r="F119" s="20" t="s">
        <v>215</v>
      </c>
      <c r="G119" s="71">
        <v>20</v>
      </c>
      <c r="H119" s="34" t="s">
        <v>216</v>
      </c>
    </row>
    <row r="120" spans="1:8" x14ac:dyDescent="0.35">
      <c r="A120" s="34" t="s">
        <v>32</v>
      </c>
      <c r="D120" s="155">
        <v>6000</v>
      </c>
      <c r="E120" s="71">
        <v>10</v>
      </c>
      <c r="F120" s="20" t="s">
        <v>215</v>
      </c>
      <c r="G120" s="71">
        <v>20</v>
      </c>
      <c r="H120" s="34" t="s">
        <v>216</v>
      </c>
    </row>
    <row r="121" spans="1:8" x14ac:dyDescent="0.35">
      <c r="A121" s="34" t="s">
        <v>33</v>
      </c>
      <c r="D121" s="155">
        <v>2000</v>
      </c>
      <c r="E121" s="71">
        <v>10</v>
      </c>
      <c r="F121" s="20" t="s">
        <v>215</v>
      </c>
      <c r="G121" s="71">
        <v>20</v>
      </c>
      <c r="H121" s="34" t="s">
        <v>216</v>
      </c>
    </row>
    <row r="122" spans="1:8" x14ac:dyDescent="0.35">
      <c r="A122" s="34" t="s">
        <v>34</v>
      </c>
      <c r="D122" s="155">
        <v>25000</v>
      </c>
      <c r="E122" s="71">
        <v>10</v>
      </c>
      <c r="F122" s="20" t="s">
        <v>215</v>
      </c>
      <c r="G122" s="71">
        <v>20</v>
      </c>
      <c r="H122" s="34" t="s">
        <v>216</v>
      </c>
    </row>
    <row r="123" spans="1:8" x14ac:dyDescent="0.35">
      <c r="A123" s="34" t="s">
        <v>35</v>
      </c>
      <c r="D123" s="155">
        <v>8000</v>
      </c>
      <c r="E123" s="71">
        <v>10</v>
      </c>
      <c r="F123" s="20" t="s">
        <v>215</v>
      </c>
      <c r="G123" s="71">
        <v>20</v>
      </c>
      <c r="H123" s="34" t="s">
        <v>216</v>
      </c>
    </row>
    <row r="124" spans="1:8" x14ac:dyDescent="0.35">
      <c r="A124" s="34" t="s">
        <v>36</v>
      </c>
      <c r="D124" s="155">
        <v>5000</v>
      </c>
      <c r="E124" s="71">
        <v>10</v>
      </c>
      <c r="F124" s="20" t="s">
        <v>215</v>
      </c>
      <c r="G124" s="71">
        <v>20</v>
      </c>
      <c r="H124" s="34" t="s">
        <v>216</v>
      </c>
    </row>
    <row r="125" spans="1:8" x14ac:dyDescent="0.35">
      <c r="A125" s="34" t="s">
        <v>37</v>
      </c>
      <c r="D125" s="156">
        <v>17500</v>
      </c>
      <c r="E125" s="71">
        <v>10</v>
      </c>
      <c r="F125" s="20" t="s">
        <v>215</v>
      </c>
      <c r="G125" s="71">
        <v>20</v>
      </c>
      <c r="H125" s="34" t="s">
        <v>216</v>
      </c>
    </row>
    <row r="126" spans="1:8" x14ac:dyDescent="0.35">
      <c r="A126" s="35" t="s">
        <v>141</v>
      </c>
      <c r="D126" s="77">
        <f>SUM(D116:D125)</f>
        <v>82890</v>
      </c>
    </row>
    <row r="127" spans="1:8" x14ac:dyDescent="0.35">
      <c r="D127" s="35"/>
    </row>
    <row r="128" spans="1:8" x14ac:dyDescent="0.35">
      <c r="A128" s="35" t="s">
        <v>38</v>
      </c>
      <c r="D128" s="34" t="s">
        <v>0</v>
      </c>
      <c r="E128" s="43" t="s">
        <v>0</v>
      </c>
      <c r="F128" s="43"/>
      <c r="G128" s="44" t="s">
        <v>0</v>
      </c>
    </row>
    <row r="129" spans="1:13" x14ac:dyDescent="0.35">
      <c r="A129" s="54" t="str">
        <f>"     Tractors &amp; Loader ($"&amp;TEXT(K129,"#,###")&amp;" @ "&amp;L129&amp;"%)"</f>
        <v xml:space="preserve">     Tractors &amp; Loader ($175,000 @ 40%)</v>
      </c>
      <c r="D129" s="75">
        <f>SUM(K129*(L129/100))</f>
        <v>70000</v>
      </c>
      <c r="E129" s="71">
        <v>20</v>
      </c>
      <c r="F129" s="20" t="s">
        <v>215</v>
      </c>
      <c r="G129" s="71">
        <v>10</v>
      </c>
      <c r="H129" s="34" t="s">
        <v>216</v>
      </c>
      <c r="K129" s="305">
        <v>175000</v>
      </c>
      <c r="L129" s="306">
        <v>40</v>
      </c>
      <c r="M129" s="307" t="s">
        <v>215</v>
      </c>
    </row>
    <row r="130" spans="1:13" x14ac:dyDescent="0.35">
      <c r="A130" s="34" t="s">
        <v>40</v>
      </c>
      <c r="D130" s="75">
        <v>60000</v>
      </c>
      <c r="E130" s="71">
        <v>20</v>
      </c>
      <c r="F130" s="20" t="s">
        <v>215</v>
      </c>
      <c r="G130" s="71">
        <v>10</v>
      </c>
      <c r="H130" s="34" t="s">
        <v>216</v>
      </c>
    </row>
    <row r="131" spans="1:13" x14ac:dyDescent="0.35">
      <c r="G131" s="44" t="s">
        <v>0</v>
      </c>
    </row>
    <row r="132" spans="1:13" x14ac:dyDescent="0.35">
      <c r="A132" s="35" t="s">
        <v>41</v>
      </c>
      <c r="D132" s="77">
        <f>D126+D129+D130</f>
        <v>212890</v>
      </c>
    </row>
    <row r="134" spans="1:13" x14ac:dyDescent="0.35">
      <c r="A134" s="12" t="s">
        <v>201</v>
      </c>
      <c r="E134" s="42" t="s">
        <v>76</v>
      </c>
      <c r="F134" s="42"/>
    </row>
    <row r="135" spans="1:13" x14ac:dyDescent="0.35">
      <c r="A135" s="13"/>
      <c r="E135" s="37"/>
      <c r="F135" s="37"/>
    </row>
    <row r="136" spans="1:13" x14ac:dyDescent="0.35">
      <c r="A136" s="13" t="s">
        <v>202</v>
      </c>
      <c r="E136" s="325">
        <v>2</v>
      </c>
      <c r="F136" s="20" t="s">
        <v>268</v>
      </c>
    </row>
    <row r="137" spans="1:13" x14ac:dyDescent="0.35">
      <c r="A137" s="13" t="s">
        <v>203</v>
      </c>
      <c r="E137" s="322">
        <v>27</v>
      </c>
      <c r="F137" s="21" t="s">
        <v>114</v>
      </c>
    </row>
  </sheetData>
  <sheetProtection password="C6A6" sheet="1" objects="1" scenarios="1"/>
  <mergeCells count="3">
    <mergeCell ref="A2:G2"/>
    <mergeCell ref="D28:E28"/>
    <mergeCell ref="D29:E29"/>
  </mergeCells>
  <phoneticPr fontId="0" type="noConversion"/>
  <printOptions horizontalCentered="1"/>
  <pageMargins left="0.74803149606299213" right="0.74803149606299213" top="0.98425196850393704" bottom="0.98425196850393704" header="0.51181102362204722" footer="0.51181102362204722"/>
  <pageSetup scale="83" firstPageNumber="4" orientation="portrait" useFirstPageNumber="1" r:id="rId1"/>
  <headerFooter scaleWithDoc="0">
    <oddHeader>&amp;L&amp;9Guidelines: Feedlot Finishing Cattle Production Costs&amp;R&amp;P</oddHeader>
  </headerFooter>
  <rowBreaks count="2" manualBreakCount="2">
    <brk id="51" max="16383" man="1"/>
    <brk id="98" max="7" man="1"/>
  </rowBreaks>
  <ignoredErrors>
    <ignoredError sqref="E91 D129"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L244"/>
  <sheetViews>
    <sheetView showGridLines="0" zoomScaleNormal="100" workbookViewId="0">
      <selection sqref="A1:I1"/>
    </sheetView>
  </sheetViews>
  <sheetFormatPr defaultColWidth="8.84375" defaultRowHeight="15.5" x14ac:dyDescent="0.35"/>
  <cols>
    <col min="1" max="1" width="3.07421875" style="54" customWidth="1"/>
    <col min="2" max="2" width="8" style="54" customWidth="1"/>
    <col min="3" max="3" width="8.84375" style="54"/>
    <col min="4" max="4" width="3.07421875" style="54" customWidth="1"/>
    <col min="5" max="5" width="13.3046875" style="54" customWidth="1"/>
    <col min="6" max="6" width="2.53515625" style="54" customWidth="1"/>
    <col min="7" max="7" width="10.07421875" style="54" customWidth="1"/>
    <col min="8" max="8" width="12.07421875" style="54" customWidth="1"/>
    <col min="9" max="9" width="12.3046875" style="54" customWidth="1"/>
    <col min="10" max="16384" width="8.84375" style="54"/>
  </cols>
  <sheetData>
    <row r="1" spans="1:12" ht="18" x14ac:dyDescent="0.4">
      <c r="A1" s="352" t="s">
        <v>151</v>
      </c>
      <c r="B1" s="352"/>
      <c r="C1" s="352"/>
      <c r="D1" s="352"/>
      <c r="E1" s="352"/>
      <c r="F1" s="352"/>
      <c r="G1" s="352"/>
      <c r="H1" s="352"/>
      <c r="I1" s="352"/>
      <c r="J1" s="52"/>
      <c r="K1" s="52"/>
      <c r="L1" s="52"/>
    </row>
    <row r="2" spans="1:12" ht="18" x14ac:dyDescent="0.4">
      <c r="A2" s="52"/>
      <c r="B2" s="347"/>
      <c r="C2" s="348"/>
      <c r="D2" s="348"/>
      <c r="E2" s="348"/>
      <c r="F2" s="348"/>
      <c r="G2" s="348"/>
      <c r="H2" s="348"/>
      <c r="I2" s="348"/>
      <c r="J2" s="52"/>
      <c r="K2" s="52"/>
      <c r="L2" s="52"/>
    </row>
    <row r="3" spans="1:12" x14ac:dyDescent="0.35">
      <c r="A3" s="47" t="s">
        <v>174</v>
      </c>
      <c r="B3" s="52"/>
      <c r="C3" s="52"/>
      <c r="D3" s="52"/>
      <c r="E3" s="52"/>
      <c r="F3" s="52"/>
      <c r="G3" s="52"/>
      <c r="H3" s="52"/>
      <c r="I3" s="52"/>
      <c r="J3" s="52"/>
      <c r="K3" s="52"/>
      <c r="L3" s="52"/>
    </row>
    <row r="4" spans="1:12" ht="8.25" customHeight="1" x14ac:dyDescent="0.35">
      <c r="A4" s="47"/>
      <c r="B4" s="52"/>
      <c r="C4" s="52"/>
      <c r="D4" s="52"/>
      <c r="E4" s="52"/>
      <c r="F4" s="52"/>
      <c r="G4" s="52"/>
      <c r="H4" s="52"/>
      <c r="I4" s="52"/>
      <c r="J4" s="52"/>
      <c r="K4" s="52"/>
      <c r="L4" s="52"/>
    </row>
    <row r="5" spans="1:12" x14ac:dyDescent="0.35">
      <c r="A5" s="52"/>
      <c r="B5" s="55" t="str">
        <f>"1.  Average daily gain (ADG) was assumed to be "&amp;Input!D23&amp;" lbs/day."</f>
        <v>1.  Average daily gain (ADG) was assumed to be 3.25 lbs/day.</v>
      </c>
      <c r="C5" s="52"/>
      <c r="D5" s="52"/>
      <c r="E5" s="52"/>
      <c r="F5" s="52"/>
      <c r="G5" s="52"/>
      <c r="H5" s="52"/>
      <c r="I5" s="52"/>
      <c r="J5" s="52"/>
      <c r="K5" s="52"/>
      <c r="L5" s="52"/>
    </row>
    <row r="6" spans="1:12" x14ac:dyDescent="0.35">
      <c r="A6" s="52"/>
      <c r="B6" s="55" t="str">
        <f>"2.  It was assumed that the feeder steer weighed in at "&amp;Input!D15&amp;" lbs., and finished at "&amp;Input!D17&amp;" lbs"</f>
        <v>2.  It was assumed that the feeder steer weighed in at 650 lbs., and finished at 1400 lbs</v>
      </c>
      <c r="C6" s="52"/>
      <c r="D6" s="52"/>
      <c r="E6" s="52"/>
      <c r="F6" s="52"/>
      <c r="G6" s="52"/>
      <c r="H6" s="52"/>
      <c r="I6" s="52"/>
      <c r="J6" s="52"/>
      <c r="K6" s="52"/>
      <c r="L6" s="52"/>
    </row>
    <row r="7" spans="1:12" x14ac:dyDescent="0.35">
      <c r="A7" s="52"/>
      <c r="B7" s="52" t="str">
        <f>"     ( "&amp;ROUND(Input!D17-(Input!D17*Input!D21/100),0)&amp;" lbs after a "&amp;Input!D21&amp;"% shrink.)"</f>
        <v xml:space="preserve">     ( 1330 lbs after a 5% shrink.)</v>
      </c>
      <c r="C7" s="52"/>
      <c r="D7" s="52"/>
      <c r="E7" s="52"/>
      <c r="F7" s="52"/>
      <c r="G7" s="52"/>
      <c r="H7" s="52"/>
      <c r="I7" s="52"/>
      <c r="J7" s="52"/>
      <c r="K7" s="52"/>
      <c r="L7" s="52"/>
    </row>
    <row r="8" spans="1:12" x14ac:dyDescent="0.35">
      <c r="A8" s="52"/>
      <c r="B8" s="55" t="str">
        <f>"3.  Days on feed was "&amp;Input!D24&amp;". Hay was fed for "&amp;Input!G33&amp;" days."</f>
        <v>3.  Days on feed was 231. Hay was fed for 15 days.</v>
      </c>
      <c r="C8" s="52"/>
      <c r="D8" s="52"/>
      <c r="E8" s="52"/>
      <c r="F8" s="52"/>
      <c r="G8" s="52"/>
      <c r="H8" s="52"/>
      <c r="I8" s="52"/>
      <c r="J8" s="52"/>
      <c r="K8" s="52"/>
      <c r="L8" s="52"/>
    </row>
    <row r="9" spans="1:12" x14ac:dyDescent="0.35">
      <c r="A9" s="52"/>
      <c r="B9" s="55" t="str">
        <f>"4.  Investment in feedlot facilities and equipment was assumed to handle "&amp;Input!D13&amp;" head."</f>
        <v>4.  Investment in feedlot facilities and equipment was assumed to handle 500 head.</v>
      </c>
      <c r="C9" s="52"/>
      <c r="D9" s="52"/>
      <c r="E9" s="52"/>
      <c r="F9" s="52"/>
      <c r="G9" s="52"/>
      <c r="H9" s="52"/>
      <c r="I9" s="52"/>
      <c r="J9" s="52"/>
      <c r="K9" s="52"/>
      <c r="L9" s="52"/>
    </row>
    <row r="10" spans="1:12" x14ac:dyDescent="0.35">
      <c r="A10" s="52"/>
      <c r="B10" s="52"/>
      <c r="C10" s="52"/>
      <c r="D10" s="52"/>
      <c r="E10" s="52"/>
      <c r="F10" s="52"/>
      <c r="G10" s="52"/>
      <c r="H10" s="52"/>
      <c r="I10" s="52"/>
      <c r="J10" s="52"/>
      <c r="K10" s="52"/>
      <c r="L10" s="52"/>
    </row>
    <row r="11" spans="1:12" x14ac:dyDescent="0.35">
      <c r="A11" s="50" t="s">
        <v>143</v>
      </c>
      <c r="C11" s="52"/>
      <c r="D11" s="52"/>
      <c r="E11" s="52"/>
      <c r="F11" s="52"/>
      <c r="G11" s="52"/>
      <c r="H11" s="52"/>
      <c r="I11" s="56" t="s">
        <v>142</v>
      </c>
      <c r="J11" s="52"/>
      <c r="K11" s="52"/>
      <c r="L11" s="52"/>
    </row>
    <row r="12" spans="1:12" x14ac:dyDescent="0.35">
      <c r="A12" s="52"/>
      <c r="B12" s="52"/>
      <c r="C12" s="52"/>
      <c r="D12" s="52"/>
      <c r="E12" s="52"/>
      <c r="F12" s="52"/>
      <c r="G12" s="52"/>
      <c r="H12" s="52"/>
      <c r="I12" s="52"/>
      <c r="J12" s="52"/>
      <c r="K12" s="52"/>
      <c r="L12" s="52"/>
    </row>
    <row r="13" spans="1:12" x14ac:dyDescent="0.35">
      <c r="A13" s="52"/>
      <c r="B13" s="50" t="s">
        <v>144</v>
      </c>
      <c r="C13" s="52"/>
      <c r="D13" s="52"/>
      <c r="E13" s="52"/>
      <c r="F13" s="52"/>
      <c r="G13" s="52"/>
      <c r="H13" s="52"/>
      <c r="I13" s="52"/>
      <c r="J13" s="52"/>
      <c r="K13" s="52"/>
      <c r="L13" s="52"/>
    </row>
    <row r="14" spans="1:12" x14ac:dyDescent="0.35">
      <c r="A14" s="52"/>
      <c r="B14" s="50" t="s">
        <v>44</v>
      </c>
      <c r="C14" s="52"/>
      <c r="D14" s="52"/>
      <c r="E14" s="52"/>
      <c r="F14" s="52"/>
      <c r="G14" s="52"/>
      <c r="H14" s="52"/>
      <c r="I14" s="52"/>
      <c r="J14" s="52"/>
      <c r="K14" s="52"/>
      <c r="L14" s="52"/>
    </row>
    <row r="15" spans="1:12" x14ac:dyDescent="0.35">
      <c r="A15" s="52"/>
      <c r="B15" s="52"/>
      <c r="C15" s="52"/>
      <c r="D15" s="52"/>
      <c r="E15" s="114">
        <f>Input!D24</f>
        <v>231</v>
      </c>
      <c r="F15" s="52"/>
      <c r="G15" s="28" t="s">
        <v>217</v>
      </c>
      <c r="H15" s="28"/>
      <c r="I15" s="57"/>
      <c r="J15" s="52"/>
      <c r="K15" s="52"/>
      <c r="L15" s="52"/>
    </row>
    <row r="16" spans="1:12" x14ac:dyDescent="0.35">
      <c r="A16" s="52"/>
      <c r="B16" s="52"/>
      <c r="C16" s="52"/>
      <c r="D16" s="52" t="s">
        <v>78</v>
      </c>
      <c r="E16" s="115">
        <f>Input!D31</f>
        <v>18.5</v>
      </c>
      <c r="F16" s="52"/>
      <c r="G16" s="28" t="s">
        <v>79</v>
      </c>
      <c r="H16" s="28"/>
      <c r="I16" s="57"/>
      <c r="J16" s="52"/>
      <c r="K16" s="52"/>
      <c r="L16" s="52"/>
    </row>
    <row r="17" spans="1:12" x14ac:dyDescent="0.35">
      <c r="A17" s="52"/>
      <c r="B17" s="52"/>
      <c r="C17" s="52"/>
      <c r="D17" s="29" t="s">
        <v>68</v>
      </c>
      <c r="E17" s="114">
        <v>48</v>
      </c>
      <c r="F17" s="52"/>
      <c r="G17" s="29" t="s">
        <v>218</v>
      </c>
      <c r="H17" s="29"/>
      <c r="I17" s="57"/>
      <c r="J17" s="52"/>
      <c r="K17" s="52"/>
      <c r="L17" s="52"/>
    </row>
    <row r="18" spans="1:12" x14ac:dyDescent="0.35">
      <c r="A18" s="52"/>
      <c r="B18" s="52"/>
      <c r="C18" s="52"/>
      <c r="D18" s="49" t="s">
        <v>78</v>
      </c>
      <c r="E18" s="84">
        <f>Input!B31</f>
        <v>6.25</v>
      </c>
      <c r="F18" s="52"/>
      <c r="G18" s="30" t="s">
        <v>219</v>
      </c>
      <c r="H18" s="30"/>
      <c r="I18" s="57"/>
      <c r="J18" s="52"/>
      <c r="K18" s="52"/>
      <c r="L18" s="52"/>
    </row>
    <row r="19" spans="1:12" x14ac:dyDescent="0.35">
      <c r="A19" s="52"/>
      <c r="B19" s="52"/>
      <c r="C19" s="52"/>
      <c r="D19" s="50" t="s">
        <v>69</v>
      </c>
      <c r="E19" s="81">
        <f>ROUND(E15*E16/48*E18,2)</f>
        <v>556.45000000000005</v>
      </c>
      <c r="F19" s="50"/>
      <c r="G19" s="31" t="s">
        <v>81</v>
      </c>
      <c r="H19" s="31"/>
      <c r="I19" s="57" t="s">
        <v>0</v>
      </c>
      <c r="J19" s="52"/>
      <c r="K19" s="52"/>
      <c r="L19" s="52"/>
    </row>
    <row r="20" spans="1:12" x14ac:dyDescent="0.35">
      <c r="A20" s="52"/>
      <c r="B20" s="52"/>
      <c r="C20" s="52"/>
      <c r="D20" s="52"/>
      <c r="E20" s="52"/>
      <c r="F20" s="52"/>
      <c r="G20" s="52"/>
      <c r="H20" s="52"/>
      <c r="I20" s="52"/>
      <c r="J20" s="52"/>
      <c r="K20" s="52"/>
      <c r="L20" s="52"/>
    </row>
    <row r="21" spans="1:12" x14ac:dyDescent="0.35">
      <c r="A21" s="52"/>
      <c r="B21" s="50" t="s">
        <v>45</v>
      </c>
      <c r="C21" s="52"/>
      <c r="D21" s="52"/>
      <c r="E21" s="52"/>
      <c r="F21" s="52"/>
      <c r="G21" s="52"/>
      <c r="H21" s="52"/>
      <c r="I21" s="52"/>
      <c r="J21" s="52"/>
      <c r="K21" s="52"/>
      <c r="L21" s="52"/>
    </row>
    <row r="22" spans="1:12" x14ac:dyDescent="0.35">
      <c r="A22" s="52"/>
      <c r="B22" s="52"/>
      <c r="C22" s="52"/>
      <c r="D22" s="52"/>
      <c r="E22" s="114">
        <f>Input!D24</f>
        <v>231</v>
      </c>
      <c r="F22" s="52"/>
      <c r="G22" s="28" t="s">
        <v>82</v>
      </c>
      <c r="H22" s="28"/>
      <c r="I22" s="57"/>
      <c r="J22" s="52"/>
      <c r="K22" s="52"/>
      <c r="L22" s="52"/>
    </row>
    <row r="23" spans="1:12" x14ac:dyDescent="0.35">
      <c r="A23" s="52"/>
      <c r="B23" s="52"/>
      <c r="C23" s="52"/>
      <c r="D23" s="52" t="s">
        <v>78</v>
      </c>
      <c r="E23" s="115">
        <f>Input!D32</f>
        <v>12.5</v>
      </c>
      <c r="F23" s="52"/>
      <c r="G23" s="28" t="s">
        <v>79</v>
      </c>
      <c r="H23" s="28"/>
      <c r="I23" s="57"/>
      <c r="J23" s="52"/>
      <c r="K23" s="52"/>
      <c r="L23" s="52"/>
    </row>
    <row r="24" spans="1:12" x14ac:dyDescent="0.35">
      <c r="A24" s="52"/>
      <c r="B24" s="52"/>
      <c r="C24" s="52"/>
      <c r="D24" s="29" t="s">
        <v>68</v>
      </c>
      <c r="E24" s="114">
        <v>2000</v>
      </c>
      <c r="F24" s="52"/>
      <c r="G24" s="29" t="s">
        <v>220</v>
      </c>
      <c r="H24" s="29"/>
      <c r="I24" s="57"/>
      <c r="J24" s="52"/>
      <c r="K24" s="52"/>
      <c r="L24" s="52"/>
    </row>
    <row r="25" spans="1:12" x14ac:dyDescent="0.35">
      <c r="A25" s="52"/>
      <c r="B25" s="52"/>
      <c r="C25" s="52"/>
      <c r="D25" s="49" t="s">
        <v>78</v>
      </c>
      <c r="E25" s="84">
        <f>Input!B32</f>
        <v>55</v>
      </c>
      <c r="F25" s="52"/>
      <c r="G25" s="30" t="s">
        <v>83</v>
      </c>
      <c r="H25" s="30"/>
      <c r="I25" s="57"/>
      <c r="J25" s="52"/>
      <c r="K25" s="52"/>
      <c r="L25" s="52"/>
    </row>
    <row r="26" spans="1:12" x14ac:dyDescent="0.35">
      <c r="A26" s="52"/>
      <c r="B26" s="52"/>
      <c r="C26" s="52"/>
      <c r="D26" s="50" t="s">
        <v>69</v>
      </c>
      <c r="E26" s="81">
        <f>ROUND(E25*(E22*E23/2000),2)</f>
        <v>79.41</v>
      </c>
      <c r="F26" s="50"/>
      <c r="G26" s="31" t="s">
        <v>81</v>
      </c>
      <c r="H26" s="31"/>
      <c r="I26" s="57" t="s">
        <v>0</v>
      </c>
      <c r="J26" s="52"/>
      <c r="K26" s="52"/>
      <c r="L26" s="52"/>
    </row>
    <row r="27" spans="1:12" x14ac:dyDescent="0.35">
      <c r="A27" s="52"/>
      <c r="B27" s="52"/>
      <c r="C27" s="52"/>
      <c r="D27" s="52"/>
      <c r="E27" s="52"/>
      <c r="F27" s="52"/>
      <c r="G27" s="52"/>
      <c r="H27" s="52"/>
      <c r="I27" s="52"/>
      <c r="J27" s="52"/>
      <c r="K27" s="52"/>
      <c r="L27" s="52"/>
    </row>
    <row r="28" spans="1:12" x14ac:dyDescent="0.35">
      <c r="A28" s="52"/>
      <c r="B28" s="47" t="s">
        <v>350</v>
      </c>
      <c r="C28" s="52"/>
      <c r="D28" s="52"/>
      <c r="E28" s="52"/>
      <c r="F28" s="52"/>
      <c r="G28" s="52"/>
      <c r="H28" s="52"/>
      <c r="I28" s="52"/>
      <c r="J28" s="52"/>
      <c r="K28" s="52"/>
      <c r="L28" s="52"/>
    </row>
    <row r="29" spans="1:12" x14ac:dyDescent="0.35">
      <c r="A29" s="52"/>
      <c r="B29" s="52"/>
      <c r="C29" s="52"/>
      <c r="D29" s="52"/>
      <c r="E29" s="114">
        <f>Input!G33</f>
        <v>15</v>
      </c>
      <c r="F29" s="52"/>
      <c r="G29" s="52" t="s">
        <v>84</v>
      </c>
      <c r="H29" s="52"/>
      <c r="I29" s="57"/>
      <c r="J29" s="52"/>
      <c r="K29" s="52"/>
      <c r="L29" s="52"/>
    </row>
    <row r="30" spans="1:12" x14ac:dyDescent="0.35">
      <c r="A30" s="52"/>
      <c r="B30" s="52"/>
      <c r="C30" s="52"/>
      <c r="D30" s="52" t="s">
        <v>78</v>
      </c>
      <c r="E30" s="115">
        <f>Input!D33</f>
        <v>5</v>
      </c>
      <c r="F30" s="52"/>
      <c r="G30" s="52" t="s">
        <v>79</v>
      </c>
      <c r="H30" s="52"/>
      <c r="I30" s="57"/>
      <c r="J30" s="52"/>
      <c r="K30" s="52"/>
      <c r="L30" s="52"/>
    </row>
    <row r="31" spans="1:12" x14ac:dyDescent="0.35">
      <c r="A31" s="52"/>
      <c r="B31" s="52"/>
      <c r="C31" s="52"/>
      <c r="D31" s="29" t="s">
        <v>68</v>
      </c>
      <c r="E31" s="114">
        <v>2000</v>
      </c>
      <c r="F31" s="52"/>
      <c r="G31" s="29" t="s">
        <v>220</v>
      </c>
      <c r="H31" s="52"/>
      <c r="I31" s="57"/>
      <c r="J31" s="52"/>
      <c r="K31" s="52"/>
      <c r="L31" s="52"/>
    </row>
    <row r="32" spans="1:12" x14ac:dyDescent="0.35">
      <c r="A32" s="52"/>
      <c r="B32" s="52"/>
      <c r="C32" s="52"/>
      <c r="D32" s="49" t="s">
        <v>78</v>
      </c>
      <c r="E32" s="84">
        <f>Input!B33</f>
        <v>120</v>
      </c>
      <c r="F32" s="52"/>
      <c r="G32" s="49" t="s">
        <v>83</v>
      </c>
      <c r="H32" s="49"/>
      <c r="I32" s="57"/>
      <c r="J32" s="52"/>
      <c r="K32" s="52"/>
      <c r="L32" s="52"/>
    </row>
    <row r="33" spans="1:12" x14ac:dyDescent="0.35">
      <c r="A33" s="52"/>
      <c r="B33" s="52"/>
      <c r="C33" s="52"/>
      <c r="D33" s="50" t="s">
        <v>69</v>
      </c>
      <c r="E33" s="81">
        <f>ROUND((E29*E30/E31)*E32,2)</f>
        <v>4.5</v>
      </c>
      <c r="F33" s="50"/>
      <c r="G33" s="50" t="s">
        <v>81</v>
      </c>
      <c r="H33" s="50"/>
      <c r="I33" s="57" t="s">
        <v>0</v>
      </c>
      <c r="J33" s="52"/>
      <c r="K33" s="52"/>
      <c r="L33" s="52"/>
    </row>
    <row r="34" spans="1:12" x14ac:dyDescent="0.35">
      <c r="A34" s="52"/>
      <c r="B34" s="52"/>
      <c r="C34" s="52"/>
      <c r="D34" s="52"/>
      <c r="E34" s="52"/>
      <c r="F34" s="52"/>
      <c r="G34" s="52"/>
      <c r="H34" s="52"/>
      <c r="I34" s="52"/>
      <c r="J34" s="52"/>
      <c r="K34" s="52"/>
      <c r="L34" s="52"/>
    </row>
    <row r="35" spans="1:12" x14ac:dyDescent="0.35">
      <c r="A35" s="52"/>
      <c r="B35" s="50" t="s">
        <v>177</v>
      </c>
      <c r="C35" s="52"/>
      <c r="D35" s="52"/>
      <c r="E35" s="52"/>
      <c r="F35" s="52"/>
      <c r="G35" s="52"/>
      <c r="H35" s="52"/>
      <c r="I35" s="52"/>
      <c r="J35" s="52"/>
      <c r="K35" s="52"/>
      <c r="L35" s="52"/>
    </row>
    <row r="36" spans="1:12" x14ac:dyDescent="0.35">
      <c r="A36" s="52"/>
      <c r="B36" s="52"/>
      <c r="C36" s="52"/>
      <c r="D36" s="52"/>
      <c r="E36" s="114">
        <f>Input!G34</f>
        <v>231</v>
      </c>
      <c r="F36" s="52"/>
      <c r="G36" s="52" t="s">
        <v>85</v>
      </c>
      <c r="H36" s="52"/>
      <c r="I36" s="57"/>
      <c r="J36" s="52"/>
      <c r="K36" s="52"/>
      <c r="L36" s="52"/>
    </row>
    <row r="37" spans="1:12" x14ac:dyDescent="0.35">
      <c r="A37" s="52"/>
      <c r="B37" s="52"/>
      <c r="C37" s="52"/>
      <c r="D37" s="52" t="s">
        <v>78</v>
      </c>
      <c r="E37" s="115">
        <f>Input!D34</f>
        <v>1</v>
      </c>
      <c r="F37" s="52"/>
      <c r="G37" s="52" t="s">
        <v>79</v>
      </c>
      <c r="H37" s="52"/>
      <c r="I37" s="57"/>
      <c r="J37" s="52"/>
      <c r="K37" s="52"/>
      <c r="L37" s="52"/>
    </row>
    <row r="38" spans="1:12" x14ac:dyDescent="0.35">
      <c r="A38" s="52"/>
      <c r="B38" s="52"/>
      <c r="C38" s="52"/>
      <c r="D38" s="29" t="s">
        <v>68</v>
      </c>
      <c r="E38" s="114">
        <v>2205</v>
      </c>
      <c r="F38" s="52"/>
      <c r="G38" s="29" t="s">
        <v>259</v>
      </c>
      <c r="H38" s="52"/>
      <c r="I38" s="57"/>
      <c r="J38" s="52"/>
      <c r="K38" s="52"/>
      <c r="L38" s="52"/>
    </row>
    <row r="39" spans="1:12" x14ac:dyDescent="0.35">
      <c r="A39" s="52"/>
      <c r="B39" s="52"/>
      <c r="C39" s="52"/>
      <c r="D39" s="49" t="s">
        <v>78</v>
      </c>
      <c r="E39" s="84">
        <f>Input!B34</f>
        <v>500</v>
      </c>
      <c r="F39" s="52"/>
      <c r="G39" s="49" t="s">
        <v>258</v>
      </c>
      <c r="H39" s="49"/>
      <c r="I39" s="57"/>
      <c r="J39" s="52"/>
      <c r="K39" s="52"/>
      <c r="L39" s="52"/>
    </row>
    <row r="40" spans="1:12" x14ac:dyDescent="0.35">
      <c r="A40" s="52"/>
      <c r="B40" s="52"/>
      <c r="C40" s="52"/>
      <c r="D40" s="50" t="s">
        <v>69</v>
      </c>
      <c r="E40" s="81">
        <f>ROUND((E36*E37/E38)*E39,2)</f>
        <v>52.38</v>
      </c>
      <c r="F40" s="50"/>
      <c r="G40" s="50" t="s">
        <v>81</v>
      </c>
      <c r="H40" s="50"/>
      <c r="I40" s="57" t="s">
        <v>0</v>
      </c>
      <c r="J40" s="52"/>
      <c r="K40" s="52"/>
      <c r="L40" s="52"/>
    </row>
    <row r="41" spans="1:12" x14ac:dyDescent="0.35">
      <c r="A41" s="52"/>
      <c r="B41" s="52"/>
      <c r="C41" s="52"/>
      <c r="D41" s="52"/>
      <c r="E41" s="52"/>
      <c r="F41" s="52"/>
      <c r="G41" s="52"/>
      <c r="H41" s="52"/>
      <c r="I41" s="52"/>
      <c r="J41" s="52"/>
      <c r="K41" s="52"/>
      <c r="L41" s="52"/>
    </row>
    <row r="42" spans="1:12" x14ac:dyDescent="0.35">
      <c r="A42" s="52"/>
      <c r="B42" s="50" t="s">
        <v>145</v>
      </c>
      <c r="C42" s="52"/>
      <c r="D42" s="52"/>
      <c r="E42" s="52"/>
      <c r="F42" s="52"/>
      <c r="G42" s="52"/>
      <c r="H42" s="52"/>
      <c r="I42" s="52"/>
      <c r="J42" s="52"/>
      <c r="K42" s="52"/>
      <c r="L42" s="52"/>
    </row>
    <row r="43" spans="1:12" x14ac:dyDescent="0.35">
      <c r="A43" s="52"/>
      <c r="B43" s="52"/>
      <c r="C43" s="52"/>
      <c r="D43" s="52"/>
      <c r="E43" s="52"/>
      <c r="F43" s="52"/>
      <c r="G43" s="52"/>
      <c r="H43" s="52"/>
      <c r="I43" s="52"/>
      <c r="J43" s="52"/>
      <c r="K43" s="52"/>
      <c r="L43" s="52"/>
    </row>
    <row r="44" spans="1:12" x14ac:dyDescent="0.35">
      <c r="A44" s="52"/>
      <c r="B44" s="50" t="s">
        <v>86</v>
      </c>
      <c r="C44" s="52"/>
      <c r="D44" s="52"/>
      <c r="E44" s="52"/>
      <c r="F44" s="52"/>
      <c r="G44" s="52"/>
      <c r="H44" s="52"/>
      <c r="I44" s="52"/>
      <c r="J44" s="52"/>
      <c r="K44" s="52"/>
      <c r="L44" s="52"/>
    </row>
    <row r="45" spans="1:12" x14ac:dyDescent="0.35">
      <c r="A45" s="52"/>
      <c r="B45" s="52"/>
      <c r="C45" s="52" t="s">
        <v>265</v>
      </c>
      <c r="D45" s="52"/>
      <c r="E45" s="52"/>
      <c r="F45" s="52"/>
      <c r="G45" s="52"/>
      <c r="H45" s="52"/>
      <c r="I45" s="52"/>
      <c r="J45" s="52"/>
      <c r="K45" s="52"/>
      <c r="L45" s="52"/>
    </row>
    <row r="46" spans="1:12" x14ac:dyDescent="0.35">
      <c r="A46" s="52"/>
      <c r="B46" s="52"/>
      <c r="C46" s="52"/>
      <c r="D46" s="52"/>
      <c r="E46" s="83">
        <f>Input!E45*Input!D15/100</f>
        <v>6.5</v>
      </c>
      <c r="F46" s="52"/>
      <c r="G46" s="52" t="s">
        <v>290</v>
      </c>
      <c r="H46" s="52"/>
      <c r="I46" s="57"/>
      <c r="J46" s="52"/>
      <c r="K46" s="52"/>
      <c r="L46" s="52"/>
    </row>
    <row r="47" spans="1:12" x14ac:dyDescent="0.35">
      <c r="A47" s="52"/>
      <c r="B47" s="52"/>
      <c r="C47" s="52"/>
      <c r="D47" s="52"/>
      <c r="E47" s="83">
        <f>Input!E46</f>
        <v>1.75</v>
      </c>
      <c r="F47" s="52"/>
      <c r="G47" s="52" t="s">
        <v>266</v>
      </c>
      <c r="H47" s="52"/>
      <c r="I47" s="52"/>
      <c r="J47" s="52"/>
      <c r="K47" s="52"/>
      <c r="L47" s="52"/>
    </row>
    <row r="48" spans="1:12" x14ac:dyDescent="0.35">
      <c r="A48" s="52"/>
      <c r="B48" s="52"/>
      <c r="C48" s="52" t="s">
        <v>87</v>
      </c>
      <c r="D48" s="52"/>
      <c r="E48" s="52"/>
      <c r="F48" s="52"/>
      <c r="G48" s="52"/>
      <c r="H48" s="52"/>
      <c r="I48" s="52"/>
      <c r="J48" s="52"/>
      <c r="K48" s="52"/>
      <c r="L48" s="52"/>
    </row>
    <row r="49" spans="1:12" x14ac:dyDescent="0.35">
      <c r="A49" s="52"/>
      <c r="B49" s="52"/>
      <c r="C49" s="52"/>
      <c r="D49" s="52"/>
      <c r="E49" s="83">
        <f>Input!E47</f>
        <v>1.7</v>
      </c>
      <c r="F49" s="52"/>
      <c r="G49" s="52" t="s">
        <v>209</v>
      </c>
      <c r="H49" s="52"/>
      <c r="I49" s="57"/>
      <c r="J49" s="52"/>
      <c r="K49" s="52"/>
      <c r="L49" s="52"/>
    </row>
    <row r="50" spans="1:12" x14ac:dyDescent="0.35">
      <c r="A50" s="52"/>
      <c r="B50" s="52"/>
      <c r="C50" s="52"/>
      <c r="D50" s="52" t="s">
        <v>78</v>
      </c>
      <c r="E50" s="114">
        <f>Input!D15</f>
        <v>650</v>
      </c>
      <c r="F50" s="52"/>
      <c r="G50" s="52" t="s">
        <v>88</v>
      </c>
      <c r="H50" s="52"/>
      <c r="I50" s="57"/>
      <c r="J50" s="52"/>
      <c r="K50" s="52"/>
      <c r="L50" s="52"/>
    </row>
    <row r="51" spans="1:12" x14ac:dyDescent="0.35">
      <c r="A51" s="52"/>
      <c r="B51" s="52"/>
      <c r="C51" s="52"/>
      <c r="D51" s="49" t="s">
        <v>68</v>
      </c>
      <c r="E51" s="116">
        <v>100</v>
      </c>
      <c r="F51" s="52"/>
      <c r="G51" s="49" t="s">
        <v>89</v>
      </c>
      <c r="H51" s="49"/>
      <c r="I51" s="57"/>
      <c r="J51" s="52"/>
      <c r="K51" s="52"/>
      <c r="L51" s="52"/>
    </row>
    <row r="52" spans="1:12" x14ac:dyDescent="0.35">
      <c r="A52" s="52"/>
      <c r="B52" s="52"/>
      <c r="C52" s="52"/>
      <c r="D52" s="52" t="s">
        <v>69</v>
      </c>
      <c r="E52" s="83">
        <f>ROUND((E49*E50)/E51,2)</f>
        <v>11.05</v>
      </c>
      <c r="F52" s="52"/>
      <c r="G52" s="52" t="s">
        <v>81</v>
      </c>
      <c r="H52" s="52"/>
      <c r="I52" s="57"/>
      <c r="J52" s="52"/>
      <c r="K52" s="52"/>
      <c r="L52" s="52"/>
    </row>
    <row r="53" spans="1:12" x14ac:dyDescent="0.35">
      <c r="A53" s="52"/>
      <c r="B53" s="52"/>
      <c r="C53" s="52"/>
      <c r="D53" s="52"/>
      <c r="E53" s="52"/>
      <c r="F53" s="52"/>
      <c r="G53" s="52"/>
      <c r="H53" s="52"/>
      <c r="I53" s="52"/>
      <c r="J53" s="52"/>
      <c r="K53" s="52"/>
      <c r="L53" s="52"/>
    </row>
    <row r="54" spans="1:12" x14ac:dyDescent="0.35">
      <c r="A54" s="52"/>
      <c r="B54" s="52"/>
      <c r="C54" s="52"/>
      <c r="D54" s="52"/>
      <c r="E54" s="114">
        <f>Input!D15</f>
        <v>650</v>
      </c>
      <c r="F54" s="52"/>
      <c r="G54" s="52" t="s">
        <v>88</v>
      </c>
      <c r="H54" s="52"/>
      <c r="I54" s="57"/>
      <c r="J54" s="52"/>
      <c r="K54" s="52"/>
      <c r="L54" s="52"/>
    </row>
    <row r="55" spans="1:12" x14ac:dyDescent="0.35">
      <c r="A55" s="52"/>
      <c r="B55" s="52"/>
      <c r="C55" s="52"/>
      <c r="D55" s="52" t="s">
        <v>78</v>
      </c>
      <c r="E55" s="83">
        <f>Input!D16</f>
        <v>350</v>
      </c>
      <c r="F55" s="52"/>
      <c r="G55" s="52" t="s">
        <v>209</v>
      </c>
      <c r="H55" s="52"/>
      <c r="I55" s="57"/>
      <c r="J55" s="52"/>
      <c r="K55" s="52"/>
      <c r="L55" s="52"/>
    </row>
    <row r="56" spans="1:12" x14ac:dyDescent="0.35">
      <c r="A56" s="52"/>
      <c r="B56" s="52"/>
      <c r="C56" s="52"/>
      <c r="D56" s="49" t="s">
        <v>68</v>
      </c>
      <c r="E56" s="116">
        <v>100</v>
      </c>
      <c r="F56" s="52"/>
      <c r="G56" s="49" t="s">
        <v>89</v>
      </c>
      <c r="H56" s="49"/>
      <c r="I56" s="57" t="s">
        <v>0</v>
      </c>
      <c r="J56" s="52"/>
      <c r="K56" s="52"/>
      <c r="L56" s="52"/>
    </row>
    <row r="57" spans="1:12" x14ac:dyDescent="0.35">
      <c r="A57" s="52"/>
      <c r="B57" s="52"/>
      <c r="C57" s="52"/>
      <c r="D57" s="52" t="s">
        <v>69</v>
      </c>
      <c r="E57" s="83">
        <f>ROUND(E54/100*E55,2)</f>
        <v>2275</v>
      </c>
      <c r="F57" s="52"/>
      <c r="G57" s="52" t="s">
        <v>81</v>
      </c>
      <c r="H57" s="52"/>
      <c r="I57" s="57"/>
      <c r="J57" s="52"/>
      <c r="K57" s="52"/>
      <c r="L57" s="52"/>
    </row>
    <row r="58" spans="1:12" x14ac:dyDescent="0.35">
      <c r="A58" s="52"/>
      <c r="B58" s="52"/>
      <c r="C58" s="52"/>
      <c r="D58" s="52"/>
      <c r="E58" s="52"/>
      <c r="F58" s="52"/>
      <c r="G58" s="52"/>
      <c r="H58" s="52"/>
      <c r="I58" s="52"/>
      <c r="J58" s="52"/>
      <c r="K58" s="52"/>
      <c r="L58" s="52"/>
    </row>
    <row r="59" spans="1:12" x14ac:dyDescent="0.35">
      <c r="A59" s="52"/>
      <c r="B59" s="52"/>
      <c r="C59" s="50" t="s">
        <v>76</v>
      </c>
      <c r="D59" s="50" t="s">
        <v>69</v>
      </c>
      <c r="E59" s="81">
        <f>ROUND(E46+E47+E52+E57,2)</f>
        <v>2294.3000000000002</v>
      </c>
      <c r="F59" s="50"/>
      <c r="G59" s="50" t="s">
        <v>81</v>
      </c>
      <c r="H59" s="50"/>
      <c r="I59" s="57"/>
      <c r="J59" s="52"/>
      <c r="K59" s="52"/>
      <c r="L59" s="52"/>
    </row>
    <row r="60" spans="1:12" x14ac:dyDescent="0.35">
      <c r="A60" s="52"/>
      <c r="B60" s="52"/>
      <c r="C60" s="52"/>
      <c r="D60" s="52"/>
      <c r="E60" s="52"/>
      <c r="F60" s="52"/>
      <c r="G60" s="52"/>
      <c r="H60" s="52"/>
      <c r="I60" s="52"/>
      <c r="J60" s="52"/>
      <c r="K60" s="52"/>
      <c r="L60" s="52"/>
    </row>
    <row r="61" spans="1:12" x14ac:dyDescent="0.35">
      <c r="A61" s="52"/>
      <c r="B61" s="50" t="s">
        <v>90</v>
      </c>
      <c r="C61" s="52"/>
      <c r="D61" s="52"/>
      <c r="E61" s="52"/>
      <c r="F61" s="52"/>
      <c r="G61" s="52"/>
      <c r="H61" s="52"/>
      <c r="I61" s="52"/>
      <c r="J61" s="52"/>
      <c r="K61" s="52"/>
      <c r="L61" s="52"/>
    </row>
    <row r="62" spans="1:12" x14ac:dyDescent="0.35">
      <c r="A62" s="52"/>
      <c r="B62" s="52"/>
      <c r="C62" s="52"/>
      <c r="D62" s="52"/>
      <c r="E62" s="117">
        <f>Input!E50</f>
        <v>0.5</v>
      </c>
      <c r="F62" s="52"/>
      <c r="G62" s="52" t="s">
        <v>235</v>
      </c>
      <c r="H62" s="52"/>
      <c r="I62" s="57"/>
      <c r="J62" s="52"/>
      <c r="K62" s="52"/>
      <c r="L62" s="52"/>
    </row>
    <row r="63" spans="1:12" x14ac:dyDescent="0.35">
      <c r="A63" s="52"/>
      <c r="B63" s="52"/>
      <c r="C63" s="52"/>
      <c r="D63" s="49" t="s">
        <v>78</v>
      </c>
      <c r="E63" s="84">
        <f>Input!E51</f>
        <v>70</v>
      </c>
      <c r="F63" s="52"/>
      <c r="G63" s="49" t="s">
        <v>83</v>
      </c>
      <c r="H63" s="49"/>
      <c r="I63" s="57"/>
      <c r="J63" s="52"/>
      <c r="K63" s="52"/>
      <c r="L63" s="52"/>
    </row>
    <row r="64" spans="1:12" x14ac:dyDescent="0.35">
      <c r="A64" s="52"/>
      <c r="B64" s="52"/>
      <c r="C64" s="52"/>
      <c r="D64" s="50" t="s">
        <v>69</v>
      </c>
      <c r="E64" s="81">
        <f>ROUND(E62*E63,2)</f>
        <v>35</v>
      </c>
      <c r="F64" s="50"/>
      <c r="G64" s="50" t="s">
        <v>81</v>
      </c>
      <c r="H64" s="50"/>
      <c r="I64" s="60"/>
      <c r="J64" s="52"/>
      <c r="K64" s="52"/>
      <c r="L64" s="52"/>
    </row>
    <row r="65" spans="1:12" x14ac:dyDescent="0.35">
      <c r="A65" s="52"/>
      <c r="B65" s="52"/>
      <c r="C65" s="52"/>
      <c r="D65" s="52"/>
      <c r="E65" s="52"/>
      <c r="F65" s="52"/>
      <c r="G65" s="52"/>
      <c r="H65" s="52"/>
      <c r="I65" s="52"/>
      <c r="J65" s="52"/>
      <c r="K65" s="52"/>
      <c r="L65" s="52"/>
    </row>
    <row r="66" spans="1:12" x14ac:dyDescent="0.35">
      <c r="A66" s="52"/>
      <c r="B66" s="50" t="s">
        <v>91</v>
      </c>
      <c r="C66" s="52"/>
      <c r="D66" s="52"/>
      <c r="E66" s="52"/>
      <c r="F66" s="52"/>
      <c r="G66" s="52"/>
      <c r="H66" s="52"/>
      <c r="I66" s="52"/>
      <c r="J66" s="52"/>
      <c r="K66" s="52"/>
      <c r="L66" s="52"/>
    </row>
    <row r="67" spans="1:12" x14ac:dyDescent="0.35">
      <c r="A67" s="52"/>
      <c r="B67" s="52"/>
      <c r="C67" s="52" t="s">
        <v>92</v>
      </c>
      <c r="D67" s="52"/>
      <c r="E67" s="52"/>
      <c r="F67" s="52"/>
      <c r="G67" s="52"/>
      <c r="H67" s="52"/>
      <c r="I67" s="52"/>
      <c r="J67" s="52"/>
      <c r="K67" s="52"/>
      <c r="L67" s="52"/>
    </row>
    <row r="68" spans="1:12" x14ac:dyDescent="0.35">
      <c r="A68" s="52"/>
      <c r="B68" s="52"/>
      <c r="C68" s="52"/>
      <c r="D68" s="52"/>
      <c r="E68" s="83">
        <f>Input!E55</f>
        <v>6</v>
      </c>
      <c r="F68" s="52"/>
      <c r="G68" s="52" t="s">
        <v>255</v>
      </c>
      <c r="H68" s="52"/>
      <c r="I68" s="57"/>
      <c r="J68" s="52"/>
      <c r="K68" s="52"/>
      <c r="L68" s="52"/>
    </row>
    <row r="69" spans="1:12" x14ac:dyDescent="0.35">
      <c r="A69" s="52"/>
      <c r="B69" s="52"/>
      <c r="C69" s="52"/>
      <c r="D69" s="52" t="s">
        <v>93</v>
      </c>
      <c r="E69" s="83">
        <f>Input!E56</f>
        <v>0.5</v>
      </c>
      <c r="F69" s="52"/>
      <c r="G69" s="52" t="s">
        <v>230</v>
      </c>
      <c r="H69" s="52"/>
      <c r="I69" s="57"/>
      <c r="J69" s="52"/>
      <c r="K69" s="52"/>
      <c r="L69" s="52"/>
    </row>
    <row r="70" spans="1:12" x14ac:dyDescent="0.35">
      <c r="A70" s="52"/>
      <c r="B70" s="52"/>
      <c r="C70" s="52"/>
      <c r="D70" s="52" t="s">
        <v>93</v>
      </c>
      <c r="E70" s="83">
        <f>Input!E57</f>
        <v>0.96</v>
      </c>
      <c r="F70" s="52"/>
      <c r="G70" s="52" t="s">
        <v>231</v>
      </c>
      <c r="H70" s="52"/>
      <c r="I70" s="57"/>
      <c r="J70" s="52"/>
      <c r="K70" s="52"/>
      <c r="L70" s="52"/>
    </row>
    <row r="71" spans="1:12" x14ac:dyDescent="0.35">
      <c r="A71" s="52"/>
      <c r="B71" s="52"/>
      <c r="C71" s="52"/>
      <c r="D71" s="52" t="s">
        <v>93</v>
      </c>
      <c r="E71" s="83">
        <f>Input!E58</f>
        <v>1.65</v>
      </c>
      <c r="F71" s="52"/>
      <c r="G71" s="52" t="s">
        <v>256</v>
      </c>
      <c r="H71" s="52"/>
      <c r="I71" s="57"/>
      <c r="J71" s="52"/>
      <c r="K71" s="52"/>
      <c r="L71" s="52"/>
    </row>
    <row r="72" spans="1:12" x14ac:dyDescent="0.35">
      <c r="A72" s="52"/>
      <c r="B72" s="52"/>
      <c r="C72" s="52"/>
      <c r="D72" s="52" t="s">
        <v>93</v>
      </c>
      <c r="E72" s="83">
        <f>Input!E59</f>
        <v>3.42</v>
      </c>
      <c r="F72" s="52"/>
      <c r="G72" s="52" t="s">
        <v>232</v>
      </c>
      <c r="H72" s="52"/>
      <c r="I72" s="57"/>
      <c r="J72" s="52"/>
      <c r="K72" s="52"/>
      <c r="L72" s="52"/>
    </row>
    <row r="73" spans="1:12" x14ac:dyDescent="0.35">
      <c r="A73" s="52"/>
      <c r="B73" s="52"/>
      <c r="C73" s="52"/>
      <c r="D73" s="49" t="s">
        <v>93</v>
      </c>
      <c r="E73" s="84">
        <f>Input!E60</f>
        <v>15</v>
      </c>
      <c r="F73" s="52"/>
      <c r="G73" s="49" t="s">
        <v>233</v>
      </c>
      <c r="H73" s="49"/>
      <c r="I73" s="57"/>
      <c r="J73" s="52"/>
      <c r="K73" s="52"/>
      <c r="L73" s="52"/>
    </row>
    <row r="74" spans="1:12" x14ac:dyDescent="0.35">
      <c r="A74" s="52"/>
      <c r="B74" s="52"/>
      <c r="C74" s="52"/>
      <c r="D74" s="52" t="s">
        <v>69</v>
      </c>
      <c r="E74" s="83">
        <f>SUM(E68:E73)</f>
        <v>27.53</v>
      </c>
      <c r="F74" s="52"/>
      <c r="G74" s="52" t="s">
        <v>103</v>
      </c>
      <c r="H74" s="52"/>
      <c r="I74" s="57"/>
      <c r="J74" s="52"/>
      <c r="K74" s="52"/>
      <c r="L74" s="52"/>
    </row>
    <row r="75" spans="1:12" x14ac:dyDescent="0.35">
      <c r="A75" s="52"/>
      <c r="B75" s="52"/>
      <c r="C75" s="52"/>
      <c r="D75" s="52"/>
      <c r="E75" s="52"/>
      <c r="F75" s="52"/>
      <c r="G75" s="52"/>
      <c r="H75" s="52"/>
      <c r="I75" s="52"/>
      <c r="J75" s="52"/>
      <c r="K75" s="52"/>
      <c r="L75" s="52"/>
    </row>
    <row r="76" spans="1:12" x14ac:dyDescent="0.35">
      <c r="A76" s="52"/>
      <c r="B76" s="52"/>
      <c r="C76" s="52" t="s">
        <v>153</v>
      </c>
      <c r="D76" s="52"/>
      <c r="E76" s="52"/>
      <c r="F76" s="52"/>
      <c r="G76" s="52"/>
      <c r="H76" s="52"/>
      <c r="I76" s="52"/>
      <c r="J76" s="52"/>
      <c r="K76" s="52"/>
      <c r="L76" s="52"/>
    </row>
    <row r="77" spans="1:12" x14ac:dyDescent="0.35">
      <c r="A77" s="52"/>
      <c r="B77" s="52"/>
      <c r="C77" s="52"/>
      <c r="D77" s="52"/>
      <c r="E77" s="83">
        <f>Input!E65</f>
        <v>160</v>
      </c>
      <c r="F77" s="52"/>
      <c r="G77" s="52" t="s">
        <v>94</v>
      </c>
      <c r="H77" s="52"/>
      <c r="I77" s="57"/>
      <c r="J77" s="52"/>
      <c r="K77" s="52"/>
      <c r="L77" s="52"/>
    </row>
    <row r="78" spans="1:12" x14ac:dyDescent="0.35">
      <c r="A78" s="52"/>
      <c r="B78" s="52"/>
      <c r="C78" s="52"/>
      <c r="D78" s="52" t="s">
        <v>78</v>
      </c>
      <c r="E78" s="117">
        <f>Input!E64</f>
        <v>2</v>
      </c>
      <c r="F78" s="52"/>
      <c r="G78" s="52" t="s">
        <v>95</v>
      </c>
      <c r="H78" s="52"/>
      <c r="I78" s="57"/>
      <c r="J78" s="52"/>
      <c r="K78" s="52"/>
      <c r="L78" s="52"/>
    </row>
    <row r="79" spans="1:12" x14ac:dyDescent="0.35">
      <c r="A79" s="52"/>
      <c r="B79" s="52"/>
      <c r="C79" s="52"/>
      <c r="D79" s="49" t="s">
        <v>68</v>
      </c>
      <c r="E79" s="126">
        <f>Input!D13</f>
        <v>500</v>
      </c>
      <c r="F79" s="52"/>
      <c r="G79" s="49" t="s">
        <v>96</v>
      </c>
      <c r="H79" s="49"/>
      <c r="I79" s="57"/>
      <c r="J79" s="52"/>
      <c r="K79" s="52"/>
      <c r="L79" s="52"/>
    </row>
    <row r="80" spans="1:12" x14ac:dyDescent="0.35">
      <c r="A80" s="52"/>
      <c r="B80" s="52"/>
      <c r="C80" s="52"/>
      <c r="D80" s="52" t="s">
        <v>69</v>
      </c>
      <c r="E80" s="83">
        <f>ROUND(E77*E78/E79,2)</f>
        <v>0.64</v>
      </c>
      <c r="F80" s="52"/>
      <c r="G80" s="52" t="s">
        <v>103</v>
      </c>
      <c r="H80" s="52"/>
      <c r="I80" s="57"/>
      <c r="J80" s="52"/>
      <c r="K80" s="52"/>
      <c r="L80" s="52"/>
    </row>
    <row r="81" spans="1:12" x14ac:dyDescent="0.35">
      <c r="A81" s="52"/>
      <c r="B81" s="52"/>
      <c r="C81" s="52"/>
      <c r="D81" s="52"/>
      <c r="E81" s="59"/>
      <c r="F81" s="52"/>
      <c r="G81" s="52"/>
      <c r="H81" s="52"/>
      <c r="I81" s="52"/>
      <c r="J81" s="52"/>
      <c r="K81" s="52"/>
      <c r="L81" s="52"/>
    </row>
    <row r="82" spans="1:12" x14ac:dyDescent="0.35">
      <c r="A82" s="52"/>
      <c r="B82" s="52"/>
      <c r="C82" s="52" t="s">
        <v>152</v>
      </c>
      <c r="D82" s="52"/>
      <c r="E82" s="52"/>
      <c r="F82" s="52"/>
      <c r="G82" s="52"/>
      <c r="H82" s="52"/>
      <c r="I82" s="52"/>
      <c r="J82" s="52"/>
      <c r="K82" s="52"/>
      <c r="L82" s="52"/>
    </row>
    <row r="83" spans="1:12" x14ac:dyDescent="0.35">
      <c r="A83" s="52"/>
      <c r="B83" s="52"/>
      <c r="C83" s="52"/>
      <c r="D83" s="52"/>
      <c r="E83" s="83">
        <f>Input!E68</f>
        <v>1</v>
      </c>
      <c r="F83" s="52"/>
      <c r="G83" s="52" t="s">
        <v>97</v>
      </c>
      <c r="H83" s="52"/>
      <c r="I83" s="57"/>
      <c r="J83" s="52"/>
      <c r="K83" s="52"/>
      <c r="L83" s="52"/>
    </row>
    <row r="84" spans="1:12" x14ac:dyDescent="0.35">
      <c r="A84" s="52"/>
      <c r="B84" s="52"/>
      <c r="C84" s="52"/>
      <c r="D84" s="52" t="s">
        <v>78</v>
      </c>
      <c r="E84" s="114">
        <f>Input!E67</f>
        <v>80</v>
      </c>
      <c r="F84" s="52"/>
      <c r="G84" s="52" t="s">
        <v>98</v>
      </c>
      <c r="H84" s="52"/>
      <c r="I84" s="57"/>
      <c r="J84" s="52"/>
      <c r="K84" s="52"/>
      <c r="L84" s="52"/>
    </row>
    <row r="85" spans="1:12" x14ac:dyDescent="0.35">
      <c r="A85" s="52"/>
      <c r="B85" s="52"/>
      <c r="C85" s="52"/>
      <c r="D85" s="52" t="s">
        <v>78</v>
      </c>
      <c r="E85" s="114">
        <f>Input!E69</f>
        <v>2</v>
      </c>
      <c r="F85" s="52"/>
      <c r="G85" s="52" t="s">
        <v>99</v>
      </c>
      <c r="H85" s="52"/>
      <c r="I85" s="57"/>
      <c r="J85" s="52"/>
      <c r="K85" s="52"/>
      <c r="L85" s="52"/>
    </row>
    <row r="86" spans="1:12" x14ac:dyDescent="0.35">
      <c r="A86" s="52"/>
      <c r="B86" s="52"/>
      <c r="C86" s="52"/>
      <c r="D86" s="49" t="s">
        <v>68</v>
      </c>
      <c r="E86" s="126">
        <f>Input!D13</f>
        <v>500</v>
      </c>
      <c r="F86" s="52"/>
      <c r="G86" s="49" t="s">
        <v>96</v>
      </c>
      <c r="H86" s="49"/>
      <c r="I86" s="57"/>
      <c r="J86" s="52"/>
      <c r="K86" s="52"/>
      <c r="L86" s="52"/>
    </row>
    <row r="87" spans="1:12" x14ac:dyDescent="0.35">
      <c r="A87" s="52"/>
      <c r="B87" s="52"/>
      <c r="C87" s="52"/>
      <c r="D87" s="52" t="s">
        <v>69</v>
      </c>
      <c r="E87" s="83">
        <f>ROUND(E83*E84*E85/E86,2)</f>
        <v>0.32</v>
      </c>
      <c r="F87" s="52"/>
      <c r="G87" s="52" t="s">
        <v>103</v>
      </c>
      <c r="H87" s="52"/>
      <c r="I87" s="57"/>
      <c r="J87" s="52"/>
      <c r="K87" s="52"/>
      <c r="L87" s="52"/>
    </row>
    <row r="88" spans="1:12" x14ac:dyDescent="0.35">
      <c r="A88" s="52"/>
      <c r="B88" s="52"/>
      <c r="C88" s="52"/>
      <c r="D88" s="52"/>
      <c r="E88" s="52"/>
      <c r="F88" s="52"/>
      <c r="G88" s="52"/>
      <c r="H88" s="52"/>
      <c r="I88" s="52"/>
      <c r="J88" s="52"/>
      <c r="K88" s="52"/>
      <c r="L88" s="52"/>
    </row>
    <row r="89" spans="1:12" x14ac:dyDescent="0.35">
      <c r="A89" s="52"/>
      <c r="B89" s="52"/>
      <c r="C89" s="50" t="s">
        <v>76</v>
      </c>
      <c r="D89" s="50" t="s">
        <v>69</v>
      </c>
      <c r="E89" s="81">
        <f>ROUND(E87+E80+E74,2)</f>
        <v>28.49</v>
      </c>
      <c r="F89" s="52"/>
      <c r="G89" s="50" t="s">
        <v>81</v>
      </c>
      <c r="H89" s="50"/>
      <c r="I89" s="57"/>
      <c r="J89" s="52"/>
      <c r="K89" s="52"/>
      <c r="L89" s="52"/>
    </row>
    <row r="90" spans="1:12" x14ac:dyDescent="0.35">
      <c r="A90" s="52"/>
      <c r="B90" s="52"/>
      <c r="C90" s="52"/>
      <c r="D90" s="52"/>
      <c r="E90" s="52"/>
      <c r="F90" s="52"/>
      <c r="G90" s="52"/>
      <c r="H90" s="52"/>
      <c r="I90" s="52"/>
      <c r="J90" s="52"/>
      <c r="K90" s="52"/>
      <c r="L90" s="52"/>
    </row>
    <row r="91" spans="1:12" x14ac:dyDescent="0.35">
      <c r="A91" s="52"/>
      <c r="B91" s="50" t="s">
        <v>50</v>
      </c>
      <c r="C91" s="52"/>
      <c r="D91" s="52"/>
      <c r="E91" s="52"/>
      <c r="F91" s="52"/>
      <c r="G91" s="52"/>
      <c r="H91" s="52"/>
      <c r="I91" s="52"/>
      <c r="J91" s="52"/>
      <c r="K91" s="52"/>
      <c r="L91" s="52"/>
    </row>
    <row r="92" spans="1:12" s="131" customFormat="1" ht="15" customHeight="1" x14ac:dyDescent="0.35">
      <c r="A92" s="198"/>
      <c r="C92" s="292" t="s">
        <v>336</v>
      </c>
      <c r="D92" s="292"/>
      <c r="E92" s="292"/>
      <c r="F92" s="292"/>
      <c r="G92" s="292"/>
      <c r="H92" s="292"/>
      <c r="I92" s="293"/>
    </row>
    <row r="93" spans="1:12" s="131" customFormat="1" ht="15" customHeight="1" x14ac:dyDescent="0.35">
      <c r="A93" s="198"/>
      <c r="C93" s="292"/>
      <c r="D93" s="292"/>
      <c r="E93" s="292">
        <f>Input!E73</f>
        <v>120</v>
      </c>
      <c r="F93" s="292"/>
      <c r="G93" s="292" t="s">
        <v>337</v>
      </c>
      <c r="H93" s="292"/>
      <c r="I93" s="293"/>
    </row>
    <row r="94" spans="1:12" s="131" customFormat="1" ht="15" customHeight="1" x14ac:dyDescent="0.35">
      <c r="A94" s="198"/>
      <c r="C94" s="292"/>
      <c r="D94" s="294" t="s">
        <v>68</v>
      </c>
      <c r="E94" s="295">
        <v>2.5</v>
      </c>
      <c r="F94" s="292"/>
      <c r="G94" s="292" t="s">
        <v>338</v>
      </c>
      <c r="H94" s="292"/>
      <c r="I94" s="293"/>
    </row>
    <row r="95" spans="1:12" s="131" customFormat="1" ht="15" customHeight="1" x14ac:dyDescent="0.35">
      <c r="A95" s="198"/>
      <c r="C95" s="292"/>
      <c r="D95" s="292" t="s">
        <v>78</v>
      </c>
      <c r="E95" s="296">
        <v>0.1665576</v>
      </c>
      <c r="F95" s="292"/>
      <c r="G95" s="292" t="s">
        <v>339</v>
      </c>
      <c r="H95" s="292"/>
      <c r="I95" s="293"/>
    </row>
    <row r="96" spans="1:12" s="131" customFormat="1" ht="15" customHeight="1" x14ac:dyDescent="0.35">
      <c r="A96" s="198"/>
      <c r="C96" s="292"/>
      <c r="D96" s="292" t="s">
        <v>78</v>
      </c>
      <c r="E96" s="295">
        <f>Input!E75</f>
        <v>1.5</v>
      </c>
      <c r="F96" s="292"/>
      <c r="G96" s="292" t="s">
        <v>340</v>
      </c>
      <c r="H96" s="292"/>
      <c r="I96" s="293"/>
    </row>
    <row r="97" spans="1:9" s="131" customFormat="1" ht="15" customHeight="1" x14ac:dyDescent="0.35">
      <c r="A97" s="198"/>
      <c r="C97" s="292"/>
      <c r="D97" s="292" t="s">
        <v>78</v>
      </c>
      <c r="E97" s="297">
        <f>Input!E74</f>
        <v>1.4</v>
      </c>
      <c r="F97" s="292"/>
      <c r="G97" s="292" t="s">
        <v>341</v>
      </c>
      <c r="H97" s="292"/>
      <c r="I97" s="293"/>
    </row>
    <row r="98" spans="1:9" s="131" customFormat="1" ht="15" customHeight="1" x14ac:dyDescent="0.35">
      <c r="A98" s="198"/>
      <c r="C98" s="292"/>
      <c r="D98" s="298" t="s">
        <v>78</v>
      </c>
      <c r="E98" s="299">
        <f>Input!D24</f>
        <v>231</v>
      </c>
      <c r="F98" s="292"/>
      <c r="G98" s="292" t="s">
        <v>109</v>
      </c>
      <c r="H98" s="292"/>
      <c r="I98" s="293"/>
    </row>
    <row r="99" spans="1:9" s="131" customFormat="1" ht="15" customHeight="1" x14ac:dyDescent="0.35">
      <c r="A99" s="198"/>
      <c r="C99" s="292"/>
      <c r="D99" s="292"/>
      <c r="E99" s="297">
        <f>IF(E98="ERROR","ERROR",ROUND(((E93/E94)*E95*E96*E97*E98),2))</f>
        <v>3878.26</v>
      </c>
      <c r="F99" s="292"/>
      <c r="G99" s="292" t="s">
        <v>342</v>
      </c>
      <c r="H99" s="292"/>
      <c r="I99" s="293"/>
    </row>
    <row r="100" spans="1:9" s="131" customFormat="1" ht="15" customHeight="1" x14ac:dyDescent="0.35">
      <c r="A100" s="198"/>
      <c r="C100" s="292"/>
      <c r="D100" s="300" t="s">
        <v>68</v>
      </c>
      <c r="E100" s="301">
        <f>Input!D13</f>
        <v>500</v>
      </c>
      <c r="F100" s="300"/>
      <c r="G100" s="300" t="s">
        <v>343</v>
      </c>
      <c r="H100" s="292"/>
      <c r="I100" s="293"/>
    </row>
    <row r="101" spans="1:9" s="131" customFormat="1" ht="15" customHeight="1" x14ac:dyDescent="0.35">
      <c r="A101" s="198"/>
      <c r="C101" s="292"/>
      <c r="D101" s="292" t="s">
        <v>69</v>
      </c>
      <c r="E101" s="302">
        <f>SUM(E99/E100)</f>
        <v>7.7565200000000001</v>
      </c>
      <c r="F101" s="292"/>
      <c r="G101" s="292" t="s">
        <v>81</v>
      </c>
      <c r="H101" s="292"/>
      <c r="I101" s="293"/>
    </row>
    <row r="102" spans="1:9" s="131" customFormat="1" ht="15" customHeight="1" x14ac:dyDescent="0.35">
      <c r="A102" s="198"/>
      <c r="C102" s="292" t="s">
        <v>344</v>
      </c>
      <c r="D102" s="292"/>
      <c r="E102" s="297"/>
      <c r="F102" s="292"/>
      <c r="G102" s="292"/>
      <c r="H102" s="292"/>
      <c r="I102" s="292"/>
    </row>
    <row r="103" spans="1:9" s="131" customFormat="1" ht="15" customHeight="1" x14ac:dyDescent="0.35">
      <c r="A103" s="198"/>
      <c r="C103" s="292"/>
      <c r="D103" s="292"/>
      <c r="E103" s="303">
        <f>Input!D129+Input!D130</f>
        <v>130000</v>
      </c>
      <c r="F103" s="292"/>
      <c r="G103" s="292" t="s">
        <v>345</v>
      </c>
      <c r="H103" s="292"/>
      <c r="I103" s="293"/>
    </row>
    <row r="104" spans="1:9" s="131" customFormat="1" ht="15" customHeight="1" x14ac:dyDescent="0.35">
      <c r="A104" s="198"/>
      <c r="C104" s="292"/>
      <c r="D104" s="298" t="s">
        <v>78</v>
      </c>
      <c r="E104" s="304">
        <f>Input!E76</f>
        <v>1.2</v>
      </c>
      <c r="F104" s="292"/>
      <c r="G104" s="292" t="s">
        <v>346</v>
      </c>
      <c r="H104" s="292"/>
      <c r="I104" s="293"/>
    </row>
    <row r="105" spans="1:9" s="131" customFormat="1" ht="15" customHeight="1" x14ac:dyDescent="0.35">
      <c r="A105" s="198"/>
      <c r="C105" s="292"/>
      <c r="D105" s="292" t="s">
        <v>69</v>
      </c>
      <c r="E105" s="297">
        <f>SUM(E103*(E104/100))</f>
        <v>1560</v>
      </c>
      <c r="F105" s="292"/>
      <c r="G105" s="292" t="s">
        <v>347</v>
      </c>
      <c r="H105" s="292"/>
      <c r="I105" s="293"/>
    </row>
    <row r="106" spans="1:9" s="131" customFormat="1" ht="15" customHeight="1" x14ac:dyDescent="0.35">
      <c r="A106" s="198"/>
      <c r="C106" s="292"/>
      <c r="D106" s="300" t="s">
        <v>68</v>
      </c>
      <c r="E106" s="301">
        <f>Input!D13</f>
        <v>500</v>
      </c>
      <c r="F106" s="300"/>
      <c r="G106" s="300" t="s">
        <v>343</v>
      </c>
      <c r="H106" s="292"/>
      <c r="I106" s="293"/>
    </row>
    <row r="107" spans="1:9" s="131" customFormat="1" ht="15" customHeight="1" x14ac:dyDescent="0.35">
      <c r="A107" s="198"/>
      <c r="C107" s="292"/>
      <c r="D107" s="292" t="s">
        <v>69</v>
      </c>
      <c r="E107" s="302">
        <f>SUM(E105/E106)</f>
        <v>3.12</v>
      </c>
      <c r="F107" s="292"/>
      <c r="G107" s="292" t="s">
        <v>81</v>
      </c>
      <c r="H107" s="292"/>
      <c r="I107" s="293"/>
    </row>
    <row r="108" spans="1:9" s="131" customFormat="1" ht="15" customHeight="1" x14ac:dyDescent="0.35">
      <c r="A108" s="198"/>
      <c r="C108" s="292" t="s">
        <v>348</v>
      </c>
      <c r="D108" s="292"/>
      <c r="E108" s="297"/>
      <c r="F108" s="292"/>
      <c r="G108" s="292"/>
      <c r="H108" s="292"/>
      <c r="I108" s="292"/>
    </row>
    <row r="109" spans="1:9" s="131" customFormat="1" ht="15" customHeight="1" x14ac:dyDescent="0.35">
      <c r="A109" s="198"/>
      <c r="C109" s="292"/>
      <c r="D109" s="292"/>
      <c r="E109" s="303">
        <f>Input!D126</f>
        <v>82890</v>
      </c>
      <c r="F109" s="292"/>
      <c r="G109" s="292" t="s">
        <v>349</v>
      </c>
      <c r="H109" s="292"/>
      <c r="I109" s="293"/>
    </row>
    <row r="110" spans="1:9" s="131" customFormat="1" ht="15" customHeight="1" x14ac:dyDescent="0.35">
      <c r="A110" s="198"/>
      <c r="C110" s="292"/>
      <c r="D110" s="298" t="s">
        <v>78</v>
      </c>
      <c r="E110" s="304">
        <f>Input!E77</f>
        <v>2.2000000000000002</v>
      </c>
      <c r="F110" s="292"/>
      <c r="G110" s="292" t="s">
        <v>346</v>
      </c>
      <c r="H110" s="292"/>
      <c r="I110" s="293"/>
    </row>
    <row r="111" spans="1:9" s="131" customFormat="1" ht="15" customHeight="1" x14ac:dyDescent="0.35">
      <c r="A111" s="198"/>
      <c r="C111" s="292"/>
      <c r="D111" s="292" t="s">
        <v>69</v>
      </c>
      <c r="E111" s="297">
        <f>SUM(E109*(E110/100))</f>
        <v>1823.5800000000002</v>
      </c>
      <c r="F111" s="292"/>
      <c r="G111" s="292" t="s">
        <v>347</v>
      </c>
      <c r="H111" s="292"/>
      <c r="I111" s="293"/>
    </row>
    <row r="112" spans="1:9" s="131" customFormat="1" ht="15" customHeight="1" x14ac:dyDescent="0.35">
      <c r="A112" s="198"/>
      <c r="C112" s="292"/>
      <c r="D112" s="300" t="s">
        <v>68</v>
      </c>
      <c r="E112" s="301">
        <f>Input!D13</f>
        <v>500</v>
      </c>
      <c r="F112" s="300"/>
      <c r="G112" s="300" t="s">
        <v>343</v>
      </c>
      <c r="H112" s="292"/>
      <c r="I112" s="293"/>
    </row>
    <row r="113" spans="1:12" s="131" customFormat="1" ht="15" customHeight="1" x14ac:dyDescent="0.35">
      <c r="A113" s="198"/>
      <c r="C113" s="292"/>
      <c r="D113" s="292" t="s">
        <v>69</v>
      </c>
      <c r="E113" s="302">
        <f>SUM(E111/E112)</f>
        <v>3.6471600000000004</v>
      </c>
      <c r="F113" s="292"/>
      <c r="G113" s="292" t="s">
        <v>81</v>
      </c>
      <c r="H113" s="292"/>
      <c r="I113" s="293"/>
    </row>
    <row r="114" spans="1:12" s="131" customFormat="1" ht="15" customHeight="1" x14ac:dyDescent="0.35">
      <c r="A114" s="198"/>
      <c r="C114" s="292"/>
      <c r="D114" s="292"/>
      <c r="E114" s="297"/>
      <c r="F114" s="292"/>
      <c r="G114" s="292"/>
      <c r="H114" s="292"/>
      <c r="I114" s="292"/>
    </row>
    <row r="115" spans="1:12" s="131" customFormat="1" ht="15" customHeight="1" x14ac:dyDescent="0.35">
      <c r="A115" s="198"/>
      <c r="B115" s="27"/>
      <c r="C115" s="27"/>
      <c r="D115" s="201" t="s">
        <v>69</v>
      </c>
      <c r="E115" s="202">
        <f>SUM(E113+E107+E101)</f>
        <v>14.523680000000001</v>
      </c>
      <c r="F115" s="201"/>
      <c r="G115" s="201" t="s">
        <v>81</v>
      </c>
      <c r="H115" s="201"/>
      <c r="I115" s="293"/>
    </row>
    <row r="116" spans="1:12" x14ac:dyDescent="0.35">
      <c r="A116" s="52"/>
      <c r="B116" s="52"/>
      <c r="C116" s="52"/>
      <c r="D116" s="52"/>
      <c r="E116" s="52"/>
      <c r="F116" s="52"/>
      <c r="G116" s="52"/>
      <c r="H116" s="52"/>
      <c r="I116" s="52"/>
      <c r="J116" s="52"/>
      <c r="K116" s="52"/>
      <c r="L116" s="52"/>
    </row>
    <row r="117" spans="1:12" x14ac:dyDescent="0.35">
      <c r="A117" s="52"/>
      <c r="B117" s="50" t="s">
        <v>51</v>
      </c>
      <c r="C117" s="52"/>
      <c r="D117" s="52"/>
      <c r="E117" s="52"/>
      <c r="F117" s="52"/>
      <c r="G117" s="52"/>
      <c r="H117" s="52"/>
      <c r="I117" s="52"/>
      <c r="J117" s="52"/>
      <c r="K117" s="52"/>
      <c r="L117" s="52"/>
    </row>
    <row r="118" spans="1:12" x14ac:dyDescent="0.35">
      <c r="A118" s="52"/>
      <c r="B118" s="52"/>
      <c r="C118" s="52"/>
      <c r="D118" s="52"/>
      <c r="E118" s="83">
        <f>SUM(Input!E83:E84)</f>
        <v>3505.1719200000002</v>
      </c>
      <c r="F118" s="52"/>
      <c r="G118" s="52" t="s">
        <v>261</v>
      </c>
      <c r="H118" s="52"/>
      <c r="I118" s="57"/>
      <c r="J118" s="52"/>
      <c r="K118" s="52"/>
      <c r="L118" s="52"/>
    </row>
    <row r="119" spans="1:12" x14ac:dyDescent="0.35">
      <c r="A119" s="52"/>
      <c r="B119" s="52"/>
      <c r="C119" s="52"/>
      <c r="D119" s="49" t="s">
        <v>68</v>
      </c>
      <c r="E119" s="126">
        <f>Input!D13</f>
        <v>500</v>
      </c>
      <c r="F119" s="52"/>
      <c r="G119" s="49" t="s">
        <v>96</v>
      </c>
      <c r="H119" s="49"/>
      <c r="I119" s="57"/>
      <c r="J119" s="52"/>
      <c r="K119" s="52"/>
      <c r="L119" s="52"/>
    </row>
    <row r="120" spans="1:12" x14ac:dyDescent="0.35">
      <c r="A120" s="52"/>
      <c r="B120" s="52"/>
      <c r="C120" s="52"/>
      <c r="D120" s="50" t="s">
        <v>69</v>
      </c>
      <c r="E120" s="81">
        <f>ROUND((E118)/E119,2)</f>
        <v>7.01</v>
      </c>
      <c r="F120" s="50"/>
      <c r="G120" s="50" t="s">
        <v>81</v>
      </c>
      <c r="H120" s="50"/>
      <c r="I120" s="57"/>
      <c r="J120" s="52"/>
      <c r="K120" s="52"/>
      <c r="L120" s="52"/>
    </row>
    <row r="121" spans="1:12" x14ac:dyDescent="0.35">
      <c r="A121" s="52"/>
      <c r="B121" s="52"/>
      <c r="C121" s="52"/>
      <c r="D121" s="52"/>
      <c r="E121" s="52"/>
      <c r="F121" s="52"/>
      <c r="G121" s="52"/>
      <c r="H121" s="52"/>
      <c r="I121" s="52"/>
      <c r="J121" s="52"/>
      <c r="K121" s="52"/>
      <c r="L121" s="52"/>
    </row>
    <row r="122" spans="1:12" x14ac:dyDescent="0.35">
      <c r="A122" s="52"/>
      <c r="B122" s="50" t="s">
        <v>52</v>
      </c>
      <c r="C122" s="52"/>
      <c r="D122" s="52"/>
      <c r="E122" s="52"/>
      <c r="F122" s="52"/>
      <c r="G122" s="52"/>
      <c r="H122" s="52"/>
      <c r="I122" s="52"/>
      <c r="J122" s="52"/>
      <c r="K122" s="52"/>
      <c r="L122" s="52"/>
    </row>
    <row r="123" spans="1:12" x14ac:dyDescent="0.35">
      <c r="A123" s="52"/>
      <c r="B123" s="50"/>
      <c r="C123" s="52"/>
      <c r="D123" s="52"/>
      <c r="E123" s="86">
        <f>Input!E94</f>
        <v>5.5</v>
      </c>
      <c r="F123" s="52"/>
      <c r="G123" s="80" t="s">
        <v>291</v>
      </c>
      <c r="H123" s="52"/>
      <c r="I123" s="57"/>
      <c r="J123" s="52"/>
      <c r="K123" s="52"/>
      <c r="L123" s="52"/>
    </row>
    <row r="124" spans="1:12" s="26" customFormat="1" x14ac:dyDescent="0.35">
      <c r="D124" s="29" t="s">
        <v>93</v>
      </c>
      <c r="E124" s="83">
        <f>Input!D20*(Input!D17/100)</f>
        <v>0</v>
      </c>
      <c r="G124" s="26" t="s">
        <v>296</v>
      </c>
      <c r="I124" s="200"/>
    </row>
    <row r="125" spans="1:12" s="26" customFormat="1" x14ac:dyDescent="0.35">
      <c r="D125" s="30" t="s">
        <v>93</v>
      </c>
      <c r="E125" s="84">
        <f>Input!E92</f>
        <v>0</v>
      </c>
      <c r="F125" s="199"/>
      <c r="G125" s="199" t="s">
        <v>295</v>
      </c>
      <c r="I125" s="200"/>
    </row>
    <row r="126" spans="1:12" s="26" customFormat="1" x14ac:dyDescent="0.35">
      <c r="D126" s="28" t="s">
        <v>69</v>
      </c>
      <c r="E126" s="83">
        <f>SUM(E125+E123+E124)</f>
        <v>5.5</v>
      </c>
      <c r="G126" s="26" t="s">
        <v>81</v>
      </c>
      <c r="I126" s="200"/>
    </row>
    <row r="127" spans="1:12" x14ac:dyDescent="0.35">
      <c r="A127" s="52"/>
      <c r="B127" s="50"/>
      <c r="C127" s="52"/>
      <c r="D127" s="52"/>
      <c r="E127" s="52"/>
      <c r="F127" s="52"/>
      <c r="G127" s="52"/>
      <c r="H127" s="52"/>
      <c r="I127" s="52"/>
      <c r="J127" s="52"/>
      <c r="K127" s="52"/>
      <c r="L127" s="52"/>
    </row>
    <row r="128" spans="1:12" x14ac:dyDescent="0.35">
      <c r="A128" s="52"/>
      <c r="C128" s="52" t="s">
        <v>248</v>
      </c>
      <c r="D128" s="52"/>
      <c r="E128" s="114">
        <f>Input!E88</f>
        <v>700</v>
      </c>
      <c r="F128" s="52"/>
      <c r="G128" s="52" t="s">
        <v>100</v>
      </c>
      <c r="H128" s="52"/>
      <c r="I128" s="57"/>
      <c r="J128" s="52"/>
      <c r="K128" s="52"/>
      <c r="L128" s="52"/>
    </row>
    <row r="129" spans="1:12" x14ac:dyDescent="0.35">
      <c r="A129" s="52"/>
      <c r="B129" s="52"/>
      <c r="C129" s="52"/>
      <c r="D129" s="52" t="s">
        <v>78</v>
      </c>
      <c r="E129" s="83">
        <f>Input!E89</f>
        <v>6.5</v>
      </c>
      <c r="F129" s="52"/>
      <c r="G129" s="28" t="s">
        <v>207</v>
      </c>
      <c r="H129" s="28"/>
      <c r="I129" s="57"/>
      <c r="J129" s="52"/>
      <c r="K129" s="52"/>
      <c r="L129" s="52"/>
    </row>
    <row r="130" spans="1:12" x14ac:dyDescent="0.35">
      <c r="A130" s="52"/>
      <c r="B130" s="52"/>
      <c r="C130" s="52"/>
      <c r="D130" s="49" t="s">
        <v>68</v>
      </c>
      <c r="E130" s="116">
        <f>ROUND(Input!E91,0)</f>
        <v>39</v>
      </c>
      <c r="F130" s="52"/>
      <c r="G130" s="30" t="s">
        <v>101</v>
      </c>
      <c r="H130" s="30"/>
      <c r="I130" s="57"/>
      <c r="J130" s="52"/>
      <c r="K130" s="52"/>
      <c r="L130" s="52"/>
    </row>
    <row r="131" spans="1:12" x14ac:dyDescent="0.35">
      <c r="A131" s="52"/>
      <c r="B131" s="52"/>
      <c r="C131" s="52"/>
      <c r="D131" s="52" t="s">
        <v>69</v>
      </c>
      <c r="E131" s="85">
        <f>ROUND(E128*E129/E130,2)</f>
        <v>116.67</v>
      </c>
      <c r="F131" s="52"/>
      <c r="G131" s="80" t="s">
        <v>81</v>
      </c>
      <c r="H131" s="32"/>
      <c r="I131" s="60"/>
      <c r="J131" s="52"/>
      <c r="K131" s="52"/>
      <c r="L131" s="52"/>
    </row>
    <row r="132" spans="1:12" x14ac:dyDescent="0.35">
      <c r="A132" s="52"/>
      <c r="B132" s="52"/>
      <c r="C132" s="52"/>
      <c r="D132" s="50"/>
      <c r="E132" s="79"/>
      <c r="F132" s="50"/>
      <c r="G132" s="32"/>
      <c r="H132" s="32"/>
      <c r="I132" s="50"/>
      <c r="J132" s="52"/>
      <c r="K132" s="52"/>
      <c r="L132" s="52"/>
    </row>
    <row r="133" spans="1:12" x14ac:dyDescent="0.35">
      <c r="A133" s="52"/>
      <c r="C133" s="50" t="s">
        <v>76</v>
      </c>
      <c r="D133" s="50" t="s">
        <v>69</v>
      </c>
      <c r="E133" s="81">
        <f>+E126+E131</f>
        <v>122.17</v>
      </c>
      <c r="F133" s="50"/>
      <c r="G133" s="32" t="s">
        <v>81</v>
      </c>
      <c r="H133" s="32"/>
      <c r="I133" s="60"/>
      <c r="J133" s="52"/>
      <c r="K133" s="52"/>
      <c r="L133" s="52"/>
    </row>
    <row r="134" spans="1:12" x14ac:dyDescent="0.35">
      <c r="A134" s="52"/>
      <c r="B134" s="52"/>
      <c r="C134" s="52"/>
      <c r="D134" s="52"/>
      <c r="E134" s="52"/>
      <c r="F134" s="52"/>
      <c r="G134" s="52"/>
      <c r="H134" s="52"/>
      <c r="I134" s="52"/>
      <c r="J134" s="52"/>
      <c r="K134" s="52"/>
      <c r="L134" s="52"/>
    </row>
    <row r="135" spans="1:12" x14ac:dyDescent="0.35">
      <c r="A135" s="52"/>
      <c r="B135" s="50" t="s">
        <v>53</v>
      </c>
      <c r="C135" s="52"/>
      <c r="D135" s="52"/>
      <c r="E135" s="52"/>
      <c r="F135" s="52"/>
      <c r="G135" s="52"/>
      <c r="H135" s="52"/>
      <c r="I135" s="52"/>
      <c r="J135" s="52"/>
      <c r="K135" s="52"/>
      <c r="L135" s="52"/>
    </row>
    <row r="136" spans="1:12" x14ac:dyDescent="0.35">
      <c r="A136" s="52"/>
      <c r="B136" s="52"/>
      <c r="C136" s="52"/>
      <c r="D136" s="52"/>
      <c r="E136" s="88">
        <f>Input!D132</f>
        <v>212890</v>
      </c>
      <c r="F136" s="52"/>
      <c r="G136" s="28" t="s">
        <v>221</v>
      </c>
      <c r="H136" s="28"/>
      <c r="I136" s="57"/>
      <c r="J136" s="52"/>
      <c r="K136" s="52"/>
      <c r="L136" s="52"/>
    </row>
    <row r="137" spans="1:12" x14ac:dyDescent="0.35">
      <c r="A137" s="52"/>
      <c r="B137" s="52"/>
      <c r="C137" s="52"/>
      <c r="D137" s="52" t="s">
        <v>78</v>
      </c>
      <c r="E137" s="83">
        <f>Input!E102</f>
        <v>0.4</v>
      </c>
      <c r="F137" s="52"/>
      <c r="G137" s="28" t="s">
        <v>166</v>
      </c>
      <c r="H137" s="28"/>
      <c r="I137" s="57"/>
      <c r="J137" s="52"/>
      <c r="K137" s="52"/>
      <c r="L137" s="52"/>
    </row>
    <row r="138" spans="1:12" x14ac:dyDescent="0.35">
      <c r="A138" s="52"/>
      <c r="B138" s="52"/>
      <c r="C138" s="52"/>
      <c r="D138" s="52" t="s">
        <v>68</v>
      </c>
      <c r="E138" s="114">
        <v>100</v>
      </c>
      <c r="F138" s="52"/>
      <c r="G138" s="52" t="s">
        <v>166</v>
      </c>
      <c r="H138" s="52"/>
      <c r="I138" s="57"/>
      <c r="J138" s="52"/>
      <c r="K138" s="52"/>
      <c r="L138" s="52"/>
    </row>
    <row r="139" spans="1:12" x14ac:dyDescent="0.35">
      <c r="A139" s="52"/>
      <c r="B139" s="52"/>
      <c r="C139" s="52"/>
      <c r="D139" s="49" t="s">
        <v>68</v>
      </c>
      <c r="E139" s="126">
        <f>Input!D13</f>
        <v>500</v>
      </c>
      <c r="F139" s="52"/>
      <c r="G139" s="49" t="s">
        <v>96</v>
      </c>
      <c r="H139" s="49"/>
      <c r="I139" s="57"/>
      <c r="J139" s="52"/>
      <c r="K139" s="52"/>
      <c r="L139" s="52"/>
    </row>
    <row r="140" spans="1:12" x14ac:dyDescent="0.35">
      <c r="A140" s="52"/>
      <c r="B140" s="52"/>
      <c r="C140" s="52"/>
      <c r="D140" s="52" t="s">
        <v>69</v>
      </c>
      <c r="E140" s="83">
        <f>ROUND(E136*E137/E138/E139,2)</f>
        <v>1.7</v>
      </c>
      <c r="F140" s="52"/>
      <c r="G140" s="52" t="s">
        <v>102</v>
      </c>
      <c r="H140" s="52"/>
      <c r="I140" s="57"/>
      <c r="J140" s="52"/>
      <c r="K140" s="52"/>
      <c r="L140" s="52"/>
    </row>
    <row r="141" spans="1:12" x14ac:dyDescent="0.35">
      <c r="A141" s="52"/>
      <c r="B141" s="52"/>
      <c r="C141" s="52"/>
      <c r="D141" s="52"/>
      <c r="E141" s="52"/>
      <c r="F141" s="52"/>
      <c r="G141" s="52"/>
      <c r="H141" s="52"/>
      <c r="I141" s="52"/>
      <c r="J141" s="52"/>
      <c r="K141" s="52"/>
      <c r="L141" s="52"/>
    </row>
    <row r="142" spans="1:12" x14ac:dyDescent="0.35">
      <c r="A142" s="52"/>
      <c r="B142" s="52"/>
      <c r="C142" s="52"/>
      <c r="D142" s="52"/>
      <c r="E142" s="88">
        <f>ROUND((((Input!D15*Input!D16/100)+(Input!D17*Input!D18/100))/2)*Input!D13,2)</f>
        <v>1436750</v>
      </c>
      <c r="F142" s="52"/>
      <c r="G142" s="52" t="s">
        <v>236</v>
      </c>
      <c r="H142" s="52"/>
      <c r="I142" s="57"/>
      <c r="J142" s="52"/>
      <c r="K142" s="52"/>
      <c r="L142" s="52"/>
    </row>
    <row r="143" spans="1:12" x14ac:dyDescent="0.35">
      <c r="A143" s="52"/>
      <c r="B143" s="52"/>
      <c r="C143" s="52"/>
      <c r="D143" s="52" t="s">
        <v>78</v>
      </c>
      <c r="E143" s="83">
        <f>Input!E101</f>
        <v>0</v>
      </c>
      <c r="F143" s="52"/>
      <c r="G143" s="28" t="s">
        <v>166</v>
      </c>
      <c r="H143" s="28"/>
      <c r="I143" s="57"/>
      <c r="J143" s="52"/>
      <c r="K143" s="52"/>
      <c r="L143" s="52"/>
    </row>
    <row r="144" spans="1:12" x14ac:dyDescent="0.35">
      <c r="A144" s="52"/>
      <c r="B144" s="52"/>
      <c r="C144" s="52"/>
      <c r="D144" s="52" t="s">
        <v>68</v>
      </c>
      <c r="E144" s="114">
        <v>100</v>
      </c>
      <c r="F144" s="52"/>
      <c r="G144" s="33" t="s">
        <v>222</v>
      </c>
      <c r="H144" s="33"/>
      <c r="I144" s="57"/>
      <c r="J144" s="52"/>
      <c r="K144" s="52"/>
      <c r="L144" s="52"/>
    </row>
    <row r="145" spans="1:12" x14ac:dyDescent="0.35">
      <c r="A145" s="52"/>
      <c r="B145" s="52"/>
      <c r="C145" s="52"/>
      <c r="D145" s="49" t="s">
        <v>68</v>
      </c>
      <c r="E145" s="126">
        <f>Input!D13</f>
        <v>500</v>
      </c>
      <c r="F145" s="52"/>
      <c r="G145" s="49" t="s">
        <v>96</v>
      </c>
      <c r="H145" s="49"/>
      <c r="I145" s="57"/>
      <c r="J145" s="52"/>
      <c r="K145" s="52"/>
      <c r="L145" s="52"/>
    </row>
    <row r="146" spans="1:12" x14ac:dyDescent="0.35">
      <c r="A146" s="52"/>
      <c r="B146" s="52"/>
      <c r="C146" s="52"/>
      <c r="D146" s="52" t="s">
        <v>69</v>
      </c>
      <c r="E146" s="83">
        <f>ROUND(E142*E143/E144/E145,2)</f>
        <v>0</v>
      </c>
      <c r="F146" s="52"/>
      <c r="G146" s="52" t="s">
        <v>102</v>
      </c>
      <c r="H146" s="52"/>
      <c r="I146" s="57"/>
      <c r="J146" s="52"/>
      <c r="K146" s="52"/>
      <c r="L146" s="52"/>
    </row>
    <row r="147" spans="1:12" x14ac:dyDescent="0.35">
      <c r="A147" s="52"/>
      <c r="B147" s="52"/>
      <c r="C147" s="52"/>
      <c r="D147" s="52"/>
      <c r="E147" s="86"/>
      <c r="F147" s="52"/>
      <c r="G147" s="52"/>
      <c r="H147" s="52"/>
      <c r="I147" s="52"/>
      <c r="J147" s="52"/>
      <c r="K147" s="52"/>
      <c r="L147" s="52"/>
    </row>
    <row r="148" spans="1:12" x14ac:dyDescent="0.35">
      <c r="A148" s="52"/>
      <c r="B148" s="52"/>
      <c r="C148" s="52"/>
      <c r="D148" s="52"/>
      <c r="E148" s="83">
        <f>Input!E103</f>
        <v>49</v>
      </c>
      <c r="F148" s="52"/>
      <c r="G148" s="52" t="s">
        <v>167</v>
      </c>
      <c r="H148" s="52"/>
      <c r="I148" s="57"/>
      <c r="J148" s="52"/>
      <c r="K148" s="52"/>
      <c r="L148" s="52"/>
    </row>
    <row r="149" spans="1:12" x14ac:dyDescent="0.35">
      <c r="A149" s="52"/>
      <c r="B149" s="52"/>
      <c r="C149" s="52"/>
      <c r="D149" s="49" t="s">
        <v>68</v>
      </c>
      <c r="E149" s="126">
        <f>Input!D13</f>
        <v>500</v>
      </c>
      <c r="F149" s="52"/>
      <c r="G149" s="49" t="s">
        <v>96</v>
      </c>
      <c r="H149" s="49"/>
      <c r="I149" s="57"/>
      <c r="J149" s="52"/>
      <c r="K149" s="52"/>
      <c r="L149" s="52"/>
    </row>
    <row r="150" spans="1:12" x14ac:dyDescent="0.35">
      <c r="A150" s="52"/>
      <c r="B150" s="52"/>
      <c r="C150" s="52"/>
      <c r="D150" s="52" t="s">
        <v>69</v>
      </c>
      <c r="E150" s="83">
        <f>ROUND(E148/E149,2)</f>
        <v>0.1</v>
      </c>
      <c r="F150" s="52"/>
      <c r="G150" s="52" t="s">
        <v>102</v>
      </c>
      <c r="H150" s="52"/>
      <c r="I150" s="57"/>
      <c r="J150" s="52"/>
      <c r="K150" s="52"/>
      <c r="L150" s="52"/>
    </row>
    <row r="151" spans="1:12" x14ac:dyDescent="0.35">
      <c r="A151" s="52"/>
      <c r="B151" s="52"/>
      <c r="C151" s="52"/>
      <c r="D151" s="52"/>
      <c r="E151" s="52"/>
      <c r="F151" s="52"/>
      <c r="G151" s="52"/>
      <c r="H151" s="52"/>
      <c r="I151" s="52"/>
      <c r="J151" s="52"/>
      <c r="K151" s="52"/>
      <c r="L151" s="52"/>
    </row>
    <row r="152" spans="1:12" x14ac:dyDescent="0.35">
      <c r="A152" s="52"/>
      <c r="B152" s="52"/>
      <c r="C152" s="50" t="s">
        <v>76</v>
      </c>
      <c r="D152" s="50" t="s">
        <v>69</v>
      </c>
      <c r="E152" s="81">
        <f>ROUND(E150+E146+E140,2)</f>
        <v>1.8</v>
      </c>
      <c r="F152" s="52"/>
      <c r="G152" s="50" t="s">
        <v>81</v>
      </c>
      <c r="H152" s="50"/>
      <c r="I152" s="57"/>
      <c r="J152" s="52"/>
      <c r="K152" s="52"/>
      <c r="L152" s="52"/>
    </row>
    <row r="153" spans="1:12" x14ac:dyDescent="0.35">
      <c r="A153" s="52"/>
      <c r="B153" s="52"/>
      <c r="C153" s="52"/>
      <c r="D153" s="52"/>
      <c r="E153" s="52"/>
      <c r="F153" s="52"/>
      <c r="G153" s="52"/>
      <c r="H153" s="52"/>
      <c r="I153" s="52"/>
      <c r="J153" s="52"/>
      <c r="K153" s="52"/>
      <c r="L153" s="52"/>
    </row>
    <row r="154" spans="1:12" x14ac:dyDescent="0.35">
      <c r="A154" s="52"/>
      <c r="B154" s="50" t="s">
        <v>54</v>
      </c>
      <c r="C154" s="52"/>
      <c r="D154" s="52"/>
      <c r="E154" s="52"/>
      <c r="F154" s="52"/>
      <c r="G154" s="52"/>
      <c r="H154" s="52"/>
      <c r="I154" s="52"/>
      <c r="J154" s="52"/>
      <c r="K154" s="52"/>
      <c r="L154" s="52"/>
    </row>
    <row r="155" spans="1:12" x14ac:dyDescent="0.35">
      <c r="A155" s="52"/>
      <c r="B155" s="52"/>
      <c r="C155" s="52"/>
      <c r="D155" s="52"/>
      <c r="E155" s="88">
        <f>Input!E97</f>
        <v>7000</v>
      </c>
      <c r="F155" s="52"/>
      <c r="G155" s="52" t="s">
        <v>262</v>
      </c>
      <c r="H155" s="52"/>
      <c r="I155" s="57"/>
      <c r="J155" s="52"/>
      <c r="K155" s="52"/>
      <c r="L155" s="52"/>
    </row>
    <row r="156" spans="1:12" x14ac:dyDescent="0.35">
      <c r="A156" s="52"/>
      <c r="B156" s="52"/>
      <c r="C156" s="52"/>
      <c r="D156" s="49" t="s">
        <v>68</v>
      </c>
      <c r="E156" s="126">
        <f>Input!D13</f>
        <v>500</v>
      </c>
      <c r="F156" s="52"/>
      <c r="G156" s="49" t="s">
        <v>96</v>
      </c>
      <c r="H156" s="49"/>
      <c r="I156" s="57"/>
      <c r="J156" s="52"/>
      <c r="K156" s="52"/>
      <c r="L156" s="52"/>
    </row>
    <row r="157" spans="1:12" x14ac:dyDescent="0.35">
      <c r="A157" s="52"/>
      <c r="B157" s="52"/>
      <c r="C157" s="52"/>
      <c r="D157" s="50" t="s">
        <v>69</v>
      </c>
      <c r="E157" s="81">
        <f>ROUND(E155/E156,2)</f>
        <v>14</v>
      </c>
      <c r="F157" s="50"/>
      <c r="G157" s="50" t="s">
        <v>103</v>
      </c>
      <c r="H157" s="50"/>
      <c r="I157" s="60"/>
      <c r="J157" s="50"/>
      <c r="K157" s="52"/>
      <c r="L157" s="52"/>
    </row>
    <row r="158" spans="1:12" x14ac:dyDescent="0.35">
      <c r="A158" s="52"/>
      <c r="B158" s="52"/>
      <c r="C158" s="52"/>
      <c r="D158" s="52"/>
      <c r="E158" s="52"/>
      <c r="F158" s="52"/>
      <c r="G158" s="52"/>
      <c r="H158" s="52"/>
      <c r="I158" s="52"/>
      <c r="J158" s="52"/>
      <c r="K158" s="52"/>
      <c r="L158" s="52"/>
    </row>
    <row r="159" spans="1:12" x14ac:dyDescent="0.35">
      <c r="A159" s="52"/>
      <c r="B159" s="50" t="s">
        <v>55</v>
      </c>
      <c r="C159" s="52"/>
      <c r="D159" s="52"/>
      <c r="E159" s="52"/>
      <c r="F159" s="52"/>
      <c r="G159" s="52"/>
      <c r="H159" s="52"/>
      <c r="I159" s="52"/>
      <c r="J159" s="52"/>
      <c r="K159" s="52"/>
      <c r="L159" s="52"/>
    </row>
    <row r="160" spans="1:12" x14ac:dyDescent="0.35">
      <c r="A160" s="52"/>
      <c r="B160" s="52"/>
      <c r="C160" s="52"/>
      <c r="D160" s="52"/>
      <c r="E160" s="83">
        <f>Input!E106</f>
        <v>900</v>
      </c>
      <c r="F160" s="52"/>
      <c r="G160" s="52" t="s">
        <v>104</v>
      </c>
      <c r="H160" s="52"/>
      <c r="I160" s="57"/>
      <c r="J160" s="52"/>
      <c r="K160" s="52"/>
      <c r="L160" s="52"/>
    </row>
    <row r="161" spans="1:12" x14ac:dyDescent="0.35">
      <c r="A161" s="52"/>
      <c r="B161" s="52"/>
      <c r="C161" s="52"/>
      <c r="D161" s="49" t="s">
        <v>68</v>
      </c>
      <c r="E161" s="126">
        <f>Input!D13</f>
        <v>500</v>
      </c>
      <c r="F161" s="52"/>
      <c r="G161" s="49" t="s">
        <v>96</v>
      </c>
      <c r="H161" s="49"/>
      <c r="I161" s="57"/>
      <c r="J161" s="52"/>
      <c r="K161" s="52"/>
      <c r="L161" s="52"/>
    </row>
    <row r="162" spans="1:12" x14ac:dyDescent="0.35">
      <c r="A162" s="52"/>
      <c r="B162" s="52"/>
      <c r="C162" s="52"/>
      <c r="D162" s="50" t="s">
        <v>69</v>
      </c>
      <c r="E162" s="81">
        <f>ROUND(E160/E161,2)</f>
        <v>1.8</v>
      </c>
      <c r="F162" s="50"/>
      <c r="G162" s="50" t="s">
        <v>81</v>
      </c>
      <c r="H162" s="50"/>
      <c r="I162" s="60"/>
      <c r="J162" s="52"/>
      <c r="K162" s="52"/>
      <c r="L162" s="52"/>
    </row>
    <row r="163" spans="1:12" x14ac:dyDescent="0.35">
      <c r="A163" s="52"/>
      <c r="B163" s="52"/>
      <c r="C163" s="52"/>
      <c r="D163" s="52"/>
      <c r="E163" s="52"/>
      <c r="F163" s="52"/>
      <c r="G163" s="52"/>
      <c r="H163" s="52"/>
      <c r="I163" s="52"/>
      <c r="J163" s="52"/>
      <c r="K163" s="52"/>
      <c r="L163" s="52"/>
    </row>
    <row r="164" spans="1:12" x14ac:dyDescent="0.35">
      <c r="A164" s="52"/>
      <c r="B164" s="50" t="s">
        <v>56</v>
      </c>
      <c r="C164" s="52"/>
      <c r="D164" s="52"/>
      <c r="E164" s="52"/>
      <c r="F164" s="52"/>
      <c r="G164" s="52"/>
      <c r="H164" s="52"/>
      <c r="I164" s="52"/>
      <c r="J164" s="52"/>
      <c r="K164" s="52"/>
      <c r="L164" s="52"/>
    </row>
    <row r="165" spans="1:12" x14ac:dyDescent="0.35">
      <c r="A165" s="52"/>
      <c r="B165" s="52"/>
      <c r="C165" s="52"/>
      <c r="D165" s="52"/>
      <c r="E165" s="83">
        <f>E59</f>
        <v>2294.3000000000002</v>
      </c>
      <c r="F165" s="52"/>
      <c r="G165" s="52" t="s">
        <v>105</v>
      </c>
      <c r="H165" s="52"/>
      <c r="I165" s="57"/>
      <c r="J165" s="52"/>
      <c r="K165" s="52"/>
      <c r="L165" s="52"/>
    </row>
    <row r="166" spans="1:12" x14ac:dyDescent="0.35">
      <c r="A166" s="52"/>
      <c r="B166" s="52"/>
      <c r="C166" s="52"/>
      <c r="D166" s="52" t="s">
        <v>93</v>
      </c>
      <c r="E166" s="83">
        <f>SUM(Summary!F11:F21)</f>
        <v>3211.8336800000002</v>
      </c>
      <c r="F166" s="52"/>
      <c r="G166" s="52" t="s">
        <v>106</v>
      </c>
      <c r="H166" s="52"/>
      <c r="I166" s="57"/>
      <c r="J166" s="52"/>
      <c r="K166" s="52"/>
      <c r="L166" s="52"/>
    </row>
    <row r="167" spans="1:12" x14ac:dyDescent="0.35">
      <c r="A167" s="52"/>
      <c r="B167" s="52"/>
      <c r="C167" s="52"/>
      <c r="D167" s="52" t="s">
        <v>7</v>
      </c>
      <c r="E167" s="83">
        <f>Summary!F18</f>
        <v>122.17</v>
      </c>
      <c r="F167" s="52"/>
      <c r="G167" s="121" t="s">
        <v>257</v>
      </c>
      <c r="H167" s="52"/>
      <c r="I167" s="57"/>
      <c r="J167" s="52"/>
      <c r="K167" s="52"/>
      <c r="L167" s="52"/>
    </row>
    <row r="168" spans="1:12" x14ac:dyDescent="0.35">
      <c r="A168" s="52"/>
      <c r="B168" s="52"/>
      <c r="C168" s="52"/>
      <c r="D168" s="52" t="s">
        <v>68</v>
      </c>
      <c r="E168" s="115">
        <v>2</v>
      </c>
      <c r="F168" s="52"/>
      <c r="G168" s="52" t="s">
        <v>107</v>
      </c>
      <c r="H168" s="52"/>
      <c r="I168" s="57"/>
      <c r="J168" s="52"/>
      <c r="K168" s="52"/>
      <c r="L168" s="52"/>
    </row>
    <row r="169" spans="1:12" x14ac:dyDescent="0.35">
      <c r="A169" s="52"/>
      <c r="B169" s="52"/>
      <c r="C169" s="52"/>
      <c r="D169" s="49" t="s">
        <v>78</v>
      </c>
      <c r="E169" s="118">
        <f>Input!D14</f>
        <v>2</v>
      </c>
      <c r="F169" s="52"/>
      <c r="G169" s="49" t="s">
        <v>227</v>
      </c>
      <c r="H169" s="49"/>
      <c r="I169" s="57"/>
      <c r="J169" s="52"/>
      <c r="K169" s="52"/>
      <c r="L169" s="52"/>
    </row>
    <row r="170" spans="1:12" x14ac:dyDescent="0.35">
      <c r="A170" s="52"/>
      <c r="B170" s="52"/>
      <c r="C170" s="52"/>
      <c r="D170" s="52" t="s">
        <v>69</v>
      </c>
      <c r="E170" s="81">
        <f>ROUND(((E165+E166-E167)/E168)*E169/100,2)</f>
        <v>53.84</v>
      </c>
      <c r="F170" s="87"/>
      <c r="G170" s="50" t="s">
        <v>81</v>
      </c>
      <c r="H170" s="50"/>
      <c r="I170" s="60"/>
      <c r="J170" s="52"/>
      <c r="K170" s="52"/>
      <c r="L170" s="52"/>
    </row>
    <row r="171" spans="1:12" x14ac:dyDescent="0.35">
      <c r="A171" s="52"/>
      <c r="B171" s="52"/>
      <c r="C171" s="52"/>
      <c r="D171" s="52"/>
      <c r="E171" s="86"/>
      <c r="F171" s="86"/>
      <c r="G171" s="52"/>
      <c r="H171" s="52"/>
      <c r="I171" s="52"/>
      <c r="J171" s="52"/>
      <c r="K171" s="52"/>
      <c r="L171" s="52"/>
    </row>
    <row r="172" spans="1:12" x14ac:dyDescent="0.35">
      <c r="A172" s="52"/>
      <c r="B172" s="50" t="s">
        <v>57</v>
      </c>
      <c r="C172" s="52"/>
      <c r="D172" s="52"/>
      <c r="E172" s="52"/>
      <c r="F172" s="52"/>
      <c r="G172" s="52"/>
      <c r="H172" s="52"/>
      <c r="I172" s="52"/>
      <c r="J172" s="52"/>
      <c r="K172" s="52"/>
      <c r="L172" s="52"/>
    </row>
    <row r="173" spans="1:12" x14ac:dyDescent="0.35">
      <c r="A173" s="52"/>
      <c r="B173" s="52"/>
      <c r="C173" s="52"/>
      <c r="D173" s="52"/>
      <c r="E173" s="83">
        <f>E59</f>
        <v>2294.3000000000002</v>
      </c>
      <c r="F173" s="52"/>
      <c r="G173" s="52" t="s">
        <v>73</v>
      </c>
      <c r="H173" s="76"/>
      <c r="I173" s="57"/>
      <c r="J173" s="52"/>
      <c r="K173" s="52"/>
      <c r="L173" s="52"/>
    </row>
    <row r="174" spans="1:12" x14ac:dyDescent="0.35">
      <c r="A174" s="52"/>
      <c r="B174" s="52"/>
      <c r="C174" s="52"/>
      <c r="D174" s="52" t="s">
        <v>93</v>
      </c>
      <c r="E174" s="83">
        <f>(Summary!F11+SUM(Summary!F14:F21))/2</f>
        <v>458.76684</v>
      </c>
      <c r="F174" s="52"/>
      <c r="G174" s="52" t="s">
        <v>108</v>
      </c>
      <c r="H174" s="52"/>
      <c r="I174" s="57"/>
      <c r="J174" s="52"/>
      <c r="K174" s="52"/>
      <c r="L174" s="52"/>
    </row>
    <row r="175" spans="1:12" x14ac:dyDescent="0.35">
      <c r="A175" s="52"/>
      <c r="B175" s="52"/>
      <c r="C175" s="52"/>
      <c r="D175" s="52" t="s">
        <v>78</v>
      </c>
      <c r="E175" s="117">
        <f>Input!E108</f>
        <v>9</v>
      </c>
      <c r="F175" s="52"/>
      <c r="G175" s="52" t="s">
        <v>228</v>
      </c>
      <c r="H175" s="52"/>
      <c r="I175" s="57"/>
      <c r="J175" s="52"/>
      <c r="K175" s="52"/>
      <c r="L175" s="52"/>
    </row>
    <row r="176" spans="1:12" x14ac:dyDescent="0.35">
      <c r="A176" s="52"/>
      <c r="B176" s="52"/>
      <c r="C176" s="52"/>
      <c r="D176" s="52" t="s">
        <v>78</v>
      </c>
      <c r="E176" s="114">
        <f>Input!D24</f>
        <v>231</v>
      </c>
      <c r="F176" s="52"/>
      <c r="G176" s="52" t="s">
        <v>109</v>
      </c>
      <c r="H176" s="52"/>
      <c r="I176" s="57"/>
      <c r="J176" s="52"/>
      <c r="K176" s="52"/>
      <c r="L176" s="52"/>
    </row>
    <row r="177" spans="1:12" x14ac:dyDescent="0.35">
      <c r="A177" s="52"/>
      <c r="B177" s="52"/>
      <c r="C177" s="52"/>
      <c r="D177" s="49" t="s">
        <v>68</v>
      </c>
      <c r="E177" s="116">
        <v>365</v>
      </c>
      <c r="F177" s="52"/>
      <c r="G177" s="49" t="s">
        <v>110</v>
      </c>
      <c r="H177" s="49"/>
      <c r="I177" s="57"/>
      <c r="J177" s="52"/>
      <c r="K177" s="52"/>
      <c r="L177" s="52"/>
    </row>
    <row r="178" spans="1:12" x14ac:dyDescent="0.35">
      <c r="A178" s="52"/>
      <c r="B178" s="52"/>
      <c r="C178" s="52"/>
      <c r="D178" s="50" t="s">
        <v>69</v>
      </c>
      <c r="E178" s="81">
        <f>ROUND(((E173+E174)*(E175))*(E176/E177/100),2)</f>
        <v>156.81</v>
      </c>
      <c r="F178" s="50"/>
      <c r="G178" s="50" t="s">
        <v>81</v>
      </c>
      <c r="H178" s="50"/>
      <c r="I178" s="60"/>
      <c r="J178" s="52"/>
      <c r="K178" s="52"/>
      <c r="L178" s="52"/>
    </row>
    <row r="179" spans="1:12" x14ac:dyDescent="0.35">
      <c r="A179" s="52"/>
      <c r="B179" s="52"/>
      <c r="C179" s="52"/>
      <c r="D179" s="50"/>
      <c r="E179" s="58"/>
      <c r="F179" s="50"/>
      <c r="G179" s="50"/>
      <c r="H179" s="50"/>
      <c r="I179" s="50"/>
      <c r="J179" s="52"/>
      <c r="K179" s="52"/>
      <c r="L179" s="52"/>
    </row>
    <row r="180" spans="1:12" ht="18" x14ac:dyDescent="0.4">
      <c r="B180" s="354" t="s">
        <v>168</v>
      </c>
      <c r="C180" s="355"/>
      <c r="D180" s="355"/>
      <c r="E180" s="355"/>
      <c r="F180" s="355"/>
      <c r="G180" s="355"/>
      <c r="H180" s="355"/>
      <c r="I180" s="355"/>
      <c r="J180" s="52"/>
      <c r="K180" s="52"/>
      <c r="L180" s="52"/>
    </row>
    <row r="181" spans="1:12" ht="17.5" x14ac:dyDescent="0.35">
      <c r="A181" s="52"/>
      <c r="B181" s="52"/>
      <c r="C181" s="52"/>
      <c r="E181" s="61"/>
      <c r="F181" s="61"/>
      <c r="G181" s="52"/>
      <c r="H181" s="52"/>
      <c r="I181" s="52"/>
      <c r="J181" s="52"/>
      <c r="K181" s="52"/>
      <c r="L181" s="52"/>
    </row>
    <row r="182" spans="1:12" x14ac:dyDescent="0.35">
      <c r="A182" s="52"/>
      <c r="B182" s="35" t="s">
        <v>223</v>
      </c>
      <c r="C182" s="52"/>
      <c r="D182" s="52"/>
      <c r="E182" s="52"/>
      <c r="F182" s="52"/>
      <c r="G182" s="52"/>
      <c r="H182" s="52"/>
      <c r="I182" s="52"/>
      <c r="J182" s="52"/>
      <c r="K182" s="52"/>
      <c r="L182" s="52"/>
    </row>
    <row r="183" spans="1:12" x14ac:dyDescent="0.35">
      <c r="A183" s="52"/>
      <c r="B183" s="35" t="s">
        <v>224</v>
      </c>
      <c r="C183" s="52"/>
      <c r="D183" s="52"/>
      <c r="E183" s="52"/>
      <c r="F183" s="52"/>
      <c r="G183" s="52"/>
      <c r="H183" s="52"/>
      <c r="I183" s="52"/>
      <c r="J183" s="52"/>
      <c r="K183" s="52"/>
      <c r="L183" s="52"/>
    </row>
    <row r="184" spans="1:12" x14ac:dyDescent="0.35">
      <c r="A184" s="52"/>
      <c r="B184" s="54" t="s">
        <v>28</v>
      </c>
      <c r="C184" s="52"/>
      <c r="D184" s="52"/>
      <c r="E184" s="52"/>
      <c r="F184" s="52"/>
      <c r="G184" s="88">
        <f>Input!D116</f>
        <v>7350</v>
      </c>
      <c r="H184" s="62"/>
      <c r="I184" s="57"/>
      <c r="J184" s="52"/>
      <c r="K184" s="52"/>
      <c r="L184" s="52"/>
    </row>
    <row r="185" spans="1:12" x14ac:dyDescent="0.35">
      <c r="A185" s="52"/>
      <c r="B185" s="54" t="s">
        <v>29</v>
      </c>
      <c r="C185" s="52"/>
      <c r="D185" s="52"/>
      <c r="E185" s="52"/>
      <c r="F185" s="52"/>
      <c r="G185" s="88">
        <f>Input!D117</f>
        <v>4540</v>
      </c>
      <c r="H185" s="63"/>
      <c r="I185" s="57"/>
      <c r="J185" s="52"/>
      <c r="K185" s="52"/>
      <c r="L185" s="52"/>
    </row>
    <row r="186" spans="1:12" x14ac:dyDescent="0.35">
      <c r="A186" s="52"/>
      <c r="B186" s="54" t="s">
        <v>31</v>
      </c>
      <c r="C186" s="52"/>
      <c r="D186" s="52"/>
      <c r="E186" s="52"/>
      <c r="F186" s="52"/>
      <c r="G186" s="88">
        <f>Input!D119</f>
        <v>7500</v>
      </c>
      <c r="H186" s="62"/>
      <c r="I186" s="57"/>
      <c r="J186" s="52"/>
      <c r="K186" s="52"/>
      <c r="L186" s="52"/>
    </row>
    <row r="187" spans="1:12" x14ac:dyDescent="0.35">
      <c r="A187" s="52"/>
      <c r="B187" s="54" t="s">
        <v>32</v>
      </c>
      <c r="C187" s="52"/>
      <c r="D187" s="52"/>
      <c r="E187" s="52"/>
      <c r="F187" s="52"/>
      <c r="G187" s="88">
        <f>Input!D120</f>
        <v>6000</v>
      </c>
      <c r="H187" s="62"/>
      <c r="I187" s="57"/>
      <c r="J187" s="52"/>
      <c r="K187" s="52"/>
      <c r="L187" s="52"/>
    </row>
    <row r="188" spans="1:12" x14ac:dyDescent="0.35">
      <c r="A188" s="52"/>
      <c r="B188" s="54" t="s">
        <v>33</v>
      </c>
      <c r="C188" s="52"/>
      <c r="D188" s="52"/>
      <c r="E188" s="52"/>
      <c r="F188" s="52"/>
      <c r="G188" s="88">
        <f>Input!D121</f>
        <v>2000</v>
      </c>
      <c r="H188" s="62"/>
      <c r="I188" s="57"/>
      <c r="J188" s="52"/>
      <c r="K188" s="52"/>
      <c r="L188" s="52"/>
    </row>
    <row r="189" spans="1:12" x14ac:dyDescent="0.35">
      <c r="A189" s="52"/>
      <c r="B189" s="54" t="s">
        <v>34</v>
      </c>
      <c r="C189" s="52"/>
      <c r="D189" s="52"/>
      <c r="E189" s="52"/>
      <c r="F189" s="52"/>
      <c r="G189" s="88">
        <f>Input!D122</f>
        <v>25000</v>
      </c>
      <c r="H189" s="62"/>
      <c r="I189" s="57"/>
      <c r="J189" s="52"/>
      <c r="K189" s="52"/>
      <c r="L189" s="52"/>
    </row>
    <row r="190" spans="1:12" x14ac:dyDescent="0.35">
      <c r="A190" s="52"/>
      <c r="B190" s="54" t="s">
        <v>35</v>
      </c>
      <c r="C190" s="52"/>
      <c r="D190" s="52"/>
      <c r="E190" s="52"/>
      <c r="F190" s="52"/>
      <c r="G190" s="88">
        <f>Input!D123</f>
        <v>8000</v>
      </c>
      <c r="H190" s="62"/>
      <c r="I190" s="57"/>
      <c r="J190" s="52"/>
      <c r="K190" s="52"/>
      <c r="L190" s="52"/>
    </row>
    <row r="191" spans="1:12" x14ac:dyDescent="0.35">
      <c r="A191" s="52"/>
      <c r="B191" s="54" t="s">
        <v>36</v>
      </c>
      <c r="C191" s="52"/>
      <c r="D191" s="52"/>
      <c r="E191" s="52"/>
      <c r="F191" s="52"/>
      <c r="G191" s="88">
        <f>Input!D124</f>
        <v>5000</v>
      </c>
      <c r="H191" s="62"/>
      <c r="I191" s="57"/>
      <c r="J191" s="52"/>
      <c r="K191" s="52"/>
      <c r="L191" s="52"/>
    </row>
    <row r="192" spans="1:12" x14ac:dyDescent="0.35">
      <c r="A192" s="52"/>
      <c r="B192" s="54" t="s">
        <v>37</v>
      </c>
      <c r="C192" s="52"/>
      <c r="D192" s="52"/>
      <c r="E192" s="52"/>
      <c r="F192" s="52"/>
      <c r="G192" s="89">
        <f>Input!D125</f>
        <v>17500</v>
      </c>
      <c r="H192" s="64"/>
      <c r="I192" s="57"/>
      <c r="J192" s="52"/>
      <c r="K192" s="52"/>
      <c r="L192" s="52"/>
    </row>
    <row r="193" spans="1:12" x14ac:dyDescent="0.35">
      <c r="A193" s="52"/>
      <c r="B193" s="35" t="s">
        <v>141</v>
      </c>
      <c r="C193" s="52"/>
      <c r="D193" s="52"/>
      <c r="E193" s="52"/>
      <c r="F193" s="52"/>
      <c r="G193" s="82">
        <f>SUM(G184:G192)</f>
        <v>82890</v>
      </c>
      <c r="H193" s="35"/>
      <c r="I193" s="57"/>
      <c r="J193" s="52"/>
      <c r="K193" s="52"/>
      <c r="L193" s="52"/>
    </row>
    <row r="194" spans="1:12" x14ac:dyDescent="0.35">
      <c r="A194" s="52"/>
      <c r="C194" s="52"/>
      <c r="D194" s="52"/>
      <c r="E194" s="52"/>
      <c r="F194" s="52"/>
      <c r="G194" s="35"/>
      <c r="H194" s="35"/>
      <c r="I194" s="52"/>
      <c r="J194" s="52"/>
      <c r="K194" s="52"/>
      <c r="L194" s="52"/>
    </row>
    <row r="195" spans="1:12" x14ac:dyDescent="0.35">
      <c r="A195" s="52"/>
      <c r="B195" s="35" t="s">
        <v>38</v>
      </c>
      <c r="C195" s="52"/>
      <c r="D195" s="52"/>
      <c r="E195" s="52"/>
      <c r="F195" s="52"/>
      <c r="G195" s="54" t="s">
        <v>0</v>
      </c>
      <c r="I195" s="52"/>
      <c r="J195" s="52"/>
      <c r="K195" s="52"/>
      <c r="L195" s="52"/>
    </row>
    <row r="196" spans="1:12" x14ac:dyDescent="0.35">
      <c r="A196" s="52"/>
      <c r="B196" s="54" t="s">
        <v>39</v>
      </c>
      <c r="C196" s="52"/>
      <c r="D196" s="52"/>
      <c r="E196" s="52"/>
      <c r="F196" s="52"/>
      <c r="G196" s="88">
        <f>Input!D129</f>
        <v>70000</v>
      </c>
      <c r="H196" s="62"/>
      <c r="I196" s="57"/>
      <c r="J196" s="52"/>
      <c r="K196" s="52"/>
      <c r="L196" s="52"/>
    </row>
    <row r="197" spans="1:12" x14ac:dyDescent="0.35">
      <c r="A197" s="52"/>
      <c r="B197" s="54" t="s">
        <v>40</v>
      </c>
      <c r="C197" s="52"/>
      <c r="D197" s="52"/>
      <c r="E197" s="52"/>
      <c r="F197" s="52"/>
      <c r="G197" s="89">
        <f>Input!D130</f>
        <v>60000</v>
      </c>
      <c r="H197" s="62"/>
      <c r="I197" s="65"/>
      <c r="J197" s="52"/>
      <c r="K197" s="52"/>
      <c r="L197" s="52"/>
    </row>
    <row r="198" spans="1:12" x14ac:dyDescent="0.35">
      <c r="A198" s="52"/>
      <c r="B198" s="35" t="s">
        <v>141</v>
      </c>
      <c r="C198" s="52"/>
      <c r="D198" s="52"/>
      <c r="E198" s="52"/>
      <c r="F198" s="52"/>
      <c r="G198" s="82">
        <f>G196+G197</f>
        <v>130000</v>
      </c>
      <c r="H198" s="62"/>
      <c r="I198" s="65"/>
      <c r="J198" s="52"/>
      <c r="K198" s="52"/>
      <c r="L198" s="52"/>
    </row>
    <row r="199" spans="1:12" x14ac:dyDescent="0.35">
      <c r="A199" s="52"/>
      <c r="C199" s="52"/>
      <c r="D199" s="52"/>
      <c r="E199" s="52"/>
      <c r="F199" s="52"/>
      <c r="G199" s="76"/>
      <c r="I199" s="52"/>
      <c r="J199" s="52"/>
      <c r="K199" s="52"/>
      <c r="L199" s="52"/>
    </row>
    <row r="200" spans="1:12" x14ac:dyDescent="0.35">
      <c r="A200" s="52"/>
      <c r="B200" s="35" t="s">
        <v>41</v>
      </c>
      <c r="C200" s="52"/>
      <c r="D200" s="52"/>
      <c r="E200" s="52"/>
      <c r="F200" s="52"/>
      <c r="G200" s="82">
        <f>G193+G196+G197</f>
        <v>212890</v>
      </c>
      <c r="H200" s="35"/>
      <c r="I200" s="57"/>
      <c r="J200" s="52"/>
      <c r="K200" s="52"/>
      <c r="L200" s="52"/>
    </row>
    <row r="201" spans="1:12" x14ac:dyDescent="0.35">
      <c r="A201" s="52"/>
      <c r="B201" s="52"/>
      <c r="C201" s="52"/>
      <c r="D201" s="52"/>
      <c r="E201" s="52"/>
      <c r="F201" s="52"/>
      <c r="G201" s="52"/>
      <c r="H201" s="52"/>
      <c r="I201" s="52"/>
      <c r="J201" s="52"/>
      <c r="K201" s="52"/>
      <c r="L201" s="52"/>
    </row>
    <row r="202" spans="1:12" x14ac:dyDescent="0.35">
      <c r="A202" s="50" t="s">
        <v>148</v>
      </c>
      <c r="C202" s="52"/>
      <c r="D202" s="52"/>
      <c r="E202" s="52"/>
      <c r="F202" s="52"/>
      <c r="G202" s="52"/>
      <c r="H202" s="52"/>
      <c r="I202" s="52"/>
      <c r="J202" s="52"/>
      <c r="K202" s="52"/>
      <c r="L202" s="52"/>
    </row>
    <row r="203" spans="1:12" x14ac:dyDescent="0.35">
      <c r="A203" s="52"/>
      <c r="B203" s="52"/>
      <c r="C203" s="52"/>
      <c r="D203" s="52"/>
      <c r="E203" s="52"/>
      <c r="F203" s="52"/>
      <c r="G203" s="52"/>
      <c r="H203" s="52"/>
      <c r="I203" s="52"/>
      <c r="J203" s="52"/>
      <c r="K203" s="52"/>
      <c r="L203" s="52"/>
    </row>
    <row r="204" spans="1:12" x14ac:dyDescent="0.35">
      <c r="A204" s="52"/>
      <c r="B204" s="50" t="s">
        <v>58</v>
      </c>
      <c r="C204" s="52"/>
      <c r="D204" s="52"/>
      <c r="E204" s="66" t="s">
        <v>169</v>
      </c>
      <c r="F204" s="66"/>
      <c r="G204" s="66"/>
      <c r="H204" s="67"/>
      <c r="I204" s="52"/>
      <c r="J204" s="52"/>
      <c r="K204" s="52"/>
      <c r="L204" s="52"/>
    </row>
    <row r="205" spans="1:12" x14ac:dyDescent="0.35">
      <c r="A205" s="52"/>
      <c r="B205" s="52"/>
      <c r="C205" s="52"/>
      <c r="D205" s="52"/>
      <c r="E205" s="353" t="s">
        <v>170</v>
      </c>
      <c r="F205" s="353"/>
      <c r="G205" s="353"/>
      <c r="H205" s="69"/>
      <c r="I205" s="52"/>
      <c r="J205" s="52"/>
      <c r="K205" s="52"/>
      <c r="L205" s="52"/>
    </row>
    <row r="206" spans="1:12" x14ac:dyDescent="0.35">
      <c r="A206" s="52"/>
      <c r="B206" s="50" t="s">
        <v>59</v>
      </c>
      <c r="C206" s="52"/>
      <c r="D206" s="52"/>
      <c r="E206" s="52"/>
      <c r="F206" s="52"/>
      <c r="G206" s="52"/>
      <c r="H206" s="52"/>
      <c r="I206" s="52"/>
      <c r="J206" s="52"/>
      <c r="K206" s="52"/>
      <c r="L206" s="52"/>
    </row>
    <row r="207" spans="1:12" x14ac:dyDescent="0.35">
      <c r="A207" s="52"/>
      <c r="B207" s="52"/>
      <c r="C207" s="52"/>
      <c r="D207" s="52"/>
      <c r="E207" s="88">
        <f>Input!D126</f>
        <v>82890</v>
      </c>
      <c r="F207" s="52"/>
      <c r="G207" s="52" t="s">
        <v>173</v>
      </c>
      <c r="H207" s="52"/>
      <c r="I207" s="57"/>
      <c r="J207" s="52"/>
      <c r="K207" s="52"/>
      <c r="L207" s="52"/>
    </row>
    <row r="208" spans="1:12" x14ac:dyDescent="0.35">
      <c r="A208" s="52"/>
      <c r="B208" s="52"/>
      <c r="C208" s="52"/>
      <c r="D208" s="52" t="s">
        <v>7</v>
      </c>
      <c r="E208" s="88">
        <f>ROUND(Input!D126*(Input!E116/100),2)</f>
        <v>8289</v>
      </c>
      <c r="F208" s="52"/>
      <c r="G208" s="52" t="s">
        <v>111</v>
      </c>
      <c r="H208" s="52"/>
      <c r="I208" s="57"/>
      <c r="J208" s="52"/>
      <c r="K208" s="52"/>
      <c r="L208" s="52"/>
    </row>
    <row r="209" spans="1:12" x14ac:dyDescent="0.35">
      <c r="A209" s="52"/>
      <c r="B209" s="52"/>
      <c r="C209" s="52"/>
      <c r="D209" s="52" t="s">
        <v>68</v>
      </c>
      <c r="E209" s="114">
        <f>Input!G116</f>
        <v>20</v>
      </c>
      <c r="F209" s="52"/>
      <c r="G209" s="52" t="s">
        <v>112</v>
      </c>
      <c r="H209" s="52"/>
      <c r="I209" s="57"/>
      <c r="J209" s="52"/>
      <c r="K209" s="52"/>
      <c r="L209" s="52"/>
    </row>
    <row r="210" spans="1:12" x14ac:dyDescent="0.35">
      <c r="A210" s="52"/>
      <c r="B210" s="52"/>
      <c r="C210" s="52"/>
      <c r="D210" s="49" t="s">
        <v>68</v>
      </c>
      <c r="E210" s="126">
        <f>Input!D13</f>
        <v>500</v>
      </c>
      <c r="F210" s="49"/>
      <c r="G210" s="49" t="s">
        <v>96</v>
      </c>
      <c r="H210" s="49"/>
      <c r="I210" s="57"/>
      <c r="J210" s="52"/>
      <c r="K210" s="52"/>
      <c r="L210" s="52"/>
    </row>
    <row r="211" spans="1:12" x14ac:dyDescent="0.35">
      <c r="A211" s="52"/>
      <c r="B211" s="52"/>
      <c r="C211" s="52"/>
      <c r="D211" s="50" t="s">
        <v>69</v>
      </c>
      <c r="E211" s="81">
        <f>ROUND(((E207-E208)/E209/E210),2)</f>
        <v>7.46</v>
      </c>
      <c r="F211" s="50"/>
      <c r="G211" s="50" t="s">
        <v>81</v>
      </c>
      <c r="H211" s="50"/>
      <c r="I211" s="60"/>
      <c r="J211" s="52"/>
      <c r="K211" s="52"/>
      <c r="L211" s="52"/>
    </row>
    <row r="212" spans="1:12" x14ac:dyDescent="0.35">
      <c r="A212" s="52"/>
      <c r="B212" s="52"/>
      <c r="C212" s="52"/>
      <c r="D212" s="52"/>
      <c r="E212" s="52"/>
      <c r="F212" s="52"/>
      <c r="G212" s="52"/>
      <c r="H212" s="52"/>
      <c r="I212" s="52"/>
      <c r="J212" s="52"/>
      <c r="K212" s="52"/>
      <c r="L212" s="52"/>
    </row>
    <row r="213" spans="1:12" x14ac:dyDescent="0.35">
      <c r="A213" s="52"/>
      <c r="B213" s="50" t="s">
        <v>60</v>
      </c>
      <c r="C213" s="52"/>
      <c r="D213" s="52"/>
      <c r="E213" s="52"/>
      <c r="F213" s="52"/>
      <c r="G213" s="52"/>
      <c r="H213" s="52"/>
      <c r="I213" s="52"/>
      <c r="J213" s="52"/>
      <c r="K213" s="52"/>
      <c r="L213" s="52"/>
    </row>
    <row r="214" spans="1:12" x14ac:dyDescent="0.35">
      <c r="A214" s="52"/>
      <c r="B214" s="52"/>
      <c r="C214" s="52"/>
      <c r="D214" s="52"/>
      <c r="E214" s="88">
        <f>Input!D129+Input!D130</f>
        <v>130000</v>
      </c>
      <c r="F214" s="52"/>
      <c r="G214" s="52" t="s">
        <v>173</v>
      </c>
      <c r="H214" s="52"/>
      <c r="I214" s="57"/>
      <c r="J214" s="52"/>
      <c r="K214" s="52"/>
      <c r="L214" s="52"/>
    </row>
    <row r="215" spans="1:12" x14ac:dyDescent="0.35">
      <c r="A215" s="52"/>
      <c r="B215" s="52"/>
      <c r="C215" s="52"/>
      <c r="D215" s="52" t="s">
        <v>7</v>
      </c>
      <c r="E215" s="88">
        <f>ROUND(E214*(Input!E129/100),2)</f>
        <v>26000</v>
      </c>
      <c r="F215" s="52"/>
      <c r="G215" s="52" t="s">
        <v>111</v>
      </c>
      <c r="H215" s="52"/>
      <c r="I215" s="57"/>
      <c r="J215" s="52"/>
      <c r="K215" s="52"/>
      <c r="L215" s="52"/>
    </row>
    <row r="216" spans="1:12" x14ac:dyDescent="0.35">
      <c r="A216" s="52"/>
      <c r="B216" s="52"/>
      <c r="C216" s="52"/>
      <c r="D216" s="52" t="s">
        <v>68</v>
      </c>
      <c r="E216" s="114">
        <f>Input!G129</f>
        <v>10</v>
      </c>
      <c r="F216" s="52"/>
      <c r="G216" s="52" t="s">
        <v>112</v>
      </c>
      <c r="H216" s="52"/>
      <c r="I216" s="57"/>
      <c r="J216" s="52"/>
      <c r="K216" s="52"/>
      <c r="L216" s="52"/>
    </row>
    <row r="217" spans="1:12" x14ac:dyDescent="0.35">
      <c r="A217" s="52"/>
      <c r="B217" s="52"/>
      <c r="C217" s="52"/>
      <c r="D217" s="49" t="s">
        <v>68</v>
      </c>
      <c r="E217" s="126">
        <f>Input!D13</f>
        <v>500</v>
      </c>
      <c r="F217" s="49"/>
      <c r="G217" s="49" t="s">
        <v>96</v>
      </c>
      <c r="H217" s="49"/>
      <c r="I217" s="57"/>
      <c r="J217" s="52"/>
      <c r="K217" s="52"/>
      <c r="L217" s="52"/>
    </row>
    <row r="218" spans="1:12" x14ac:dyDescent="0.35">
      <c r="A218" s="52"/>
      <c r="B218" s="52"/>
      <c r="C218" s="52"/>
      <c r="D218" s="50" t="s">
        <v>69</v>
      </c>
      <c r="E218" s="81">
        <f>ROUND(((E214-E215)/E216/E217),2)</f>
        <v>20.8</v>
      </c>
      <c r="F218" s="50"/>
      <c r="G218" s="50" t="s">
        <v>81</v>
      </c>
      <c r="H218" s="50"/>
      <c r="I218" s="60"/>
      <c r="J218" s="52"/>
      <c r="K218" s="52"/>
      <c r="L218" s="52"/>
    </row>
    <row r="219" spans="1:12" x14ac:dyDescent="0.35">
      <c r="A219" s="52"/>
      <c r="B219" s="52"/>
      <c r="C219" s="52"/>
      <c r="D219" s="52"/>
      <c r="E219" s="52"/>
      <c r="F219" s="52"/>
      <c r="G219" s="52"/>
      <c r="H219" s="52"/>
      <c r="I219" s="52"/>
      <c r="J219" s="52"/>
      <c r="K219" s="52"/>
      <c r="L219" s="52"/>
    </row>
    <row r="220" spans="1:12" x14ac:dyDescent="0.35">
      <c r="A220" s="52"/>
      <c r="B220" s="50" t="s">
        <v>61</v>
      </c>
      <c r="C220" s="52"/>
      <c r="D220" s="52"/>
      <c r="E220" s="349" t="s">
        <v>225</v>
      </c>
      <c r="F220" s="350"/>
      <c r="G220" s="350"/>
      <c r="H220" s="350"/>
      <c r="I220" s="351"/>
      <c r="J220" s="52"/>
      <c r="K220" s="52"/>
      <c r="L220" s="52"/>
    </row>
    <row r="221" spans="1:12" x14ac:dyDescent="0.35">
      <c r="A221" s="52"/>
      <c r="B221" s="52"/>
      <c r="C221" s="52"/>
      <c r="D221" s="52"/>
      <c r="E221" s="70"/>
      <c r="F221" s="70" t="s">
        <v>171</v>
      </c>
      <c r="G221" s="68"/>
      <c r="H221" s="68"/>
      <c r="I221" s="50"/>
      <c r="J221" s="52"/>
      <c r="K221" s="52"/>
      <c r="L221" s="52"/>
    </row>
    <row r="222" spans="1:12" x14ac:dyDescent="0.35">
      <c r="A222" s="52"/>
      <c r="B222" s="50" t="s">
        <v>62</v>
      </c>
      <c r="C222" s="52"/>
      <c r="D222" s="52"/>
      <c r="E222" s="52"/>
      <c r="F222" s="52"/>
      <c r="G222" s="52"/>
      <c r="H222" s="52"/>
      <c r="I222" s="52"/>
      <c r="J222" s="52"/>
      <c r="K222" s="52"/>
      <c r="L222" s="52"/>
    </row>
    <row r="223" spans="1:12" x14ac:dyDescent="0.35">
      <c r="A223" s="52"/>
      <c r="B223" s="52"/>
      <c r="C223" s="52"/>
      <c r="D223" s="52"/>
      <c r="E223" s="88">
        <f>E207</f>
        <v>82890</v>
      </c>
      <c r="F223" s="52"/>
      <c r="G223" s="52" t="s">
        <v>173</v>
      </c>
      <c r="H223" s="52"/>
      <c r="I223" s="57"/>
      <c r="J223" s="52"/>
      <c r="K223" s="52"/>
      <c r="L223" s="52"/>
    </row>
    <row r="224" spans="1:12" x14ac:dyDescent="0.35">
      <c r="A224" s="52"/>
      <c r="B224" s="52"/>
      <c r="C224" s="52"/>
      <c r="D224" s="52" t="s">
        <v>93</v>
      </c>
      <c r="E224" s="88">
        <f>E208</f>
        <v>8289</v>
      </c>
      <c r="F224" s="52"/>
      <c r="G224" s="52" t="s">
        <v>111</v>
      </c>
      <c r="H224" s="52"/>
      <c r="I224" s="57"/>
      <c r="J224" s="52"/>
      <c r="K224" s="52"/>
      <c r="L224" s="52"/>
    </row>
    <row r="225" spans="1:12" x14ac:dyDescent="0.35">
      <c r="A225" s="52"/>
      <c r="B225" s="52"/>
      <c r="C225" s="52"/>
      <c r="D225" s="52" t="s">
        <v>68</v>
      </c>
      <c r="E225" s="114">
        <v>2</v>
      </c>
      <c r="F225" s="52"/>
      <c r="G225" s="52" t="s">
        <v>172</v>
      </c>
      <c r="H225" s="52"/>
      <c r="I225" s="57"/>
      <c r="J225" s="52"/>
      <c r="K225" s="52"/>
      <c r="L225" s="52"/>
    </row>
    <row r="226" spans="1:12" x14ac:dyDescent="0.35">
      <c r="A226" s="52"/>
      <c r="B226" s="52"/>
      <c r="C226" s="52"/>
      <c r="D226" s="52" t="s">
        <v>78</v>
      </c>
      <c r="E226" s="117">
        <f>Input!E109</f>
        <v>4</v>
      </c>
      <c r="F226" s="52"/>
      <c r="G226" s="52" t="s">
        <v>229</v>
      </c>
      <c r="H226" s="52"/>
      <c r="I226" s="57"/>
      <c r="J226" s="52"/>
      <c r="K226" s="52"/>
      <c r="L226" s="52"/>
    </row>
    <row r="227" spans="1:12" x14ac:dyDescent="0.35">
      <c r="A227" s="52"/>
      <c r="B227" s="52"/>
      <c r="C227" s="52"/>
      <c r="D227" s="49" t="s">
        <v>68</v>
      </c>
      <c r="E227" s="126">
        <f>Input!D13</f>
        <v>500</v>
      </c>
      <c r="F227" s="49"/>
      <c r="G227" s="49" t="s">
        <v>96</v>
      </c>
      <c r="H227" s="49"/>
      <c r="I227" s="57"/>
      <c r="J227" s="52"/>
      <c r="K227" s="52"/>
      <c r="L227" s="52"/>
    </row>
    <row r="228" spans="1:12" x14ac:dyDescent="0.35">
      <c r="A228" s="52"/>
      <c r="B228" s="52"/>
      <c r="C228" s="52"/>
      <c r="D228" s="50" t="s">
        <v>69</v>
      </c>
      <c r="E228" s="81">
        <f>ROUND(((E223+E224)/E225*(E226/100)/E227),2)</f>
        <v>3.65</v>
      </c>
      <c r="F228" s="50"/>
      <c r="G228" s="50" t="s">
        <v>81</v>
      </c>
      <c r="H228" s="50"/>
      <c r="I228" s="60"/>
      <c r="J228" s="52"/>
      <c r="K228" s="52"/>
      <c r="L228" s="52"/>
    </row>
    <row r="229" spans="1:12" x14ac:dyDescent="0.35">
      <c r="A229" s="52"/>
      <c r="B229" s="52"/>
      <c r="C229" s="52"/>
      <c r="D229" s="52"/>
      <c r="E229" s="52"/>
      <c r="F229" s="52"/>
      <c r="G229" s="52"/>
      <c r="H229" s="52"/>
      <c r="I229" s="52"/>
      <c r="J229" s="52"/>
      <c r="K229" s="52"/>
      <c r="L229" s="52"/>
    </row>
    <row r="230" spans="1:12" x14ac:dyDescent="0.35">
      <c r="A230" s="52"/>
      <c r="B230" s="50" t="s">
        <v>63</v>
      </c>
      <c r="C230" s="52"/>
      <c r="D230" s="52"/>
      <c r="E230" s="52"/>
      <c r="F230" s="52"/>
      <c r="G230" s="52"/>
      <c r="H230" s="52"/>
      <c r="I230" s="52"/>
      <c r="J230" s="52"/>
      <c r="K230" s="52"/>
      <c r="L230" s="52"/>
    </row>
    <row r="231" spans="1:12" x14ac:dyDescent="0.35">
      <c r="A231" s="52"/>
      <c r="B231" s="52"/>
      <c r="C231" s="52"/>
      <c r="D231" s="52"/>
      <c r="E231" s="88">
        <f>E214</f>
        <v>130000</v>
      </c>
      <c r="F231" s="52"/>
      <c r="G231" s="52" t="s">
        <v>173</v>
      </c>
      <c r="H231" s="52"/>
      <c r="I231" s="57"/>
      <c r="J231" s="52"/>
      <c r="K231" s="52"/>
      <c r="L231" s="52"/>
    </row>
    <row r="232" spans="1:12" x14ac:dyDescent="0.35">
      <c r="A232" s="52"/>
      <c r="B232" s="52"/>
      <c r="C232" s="52"/>
      <c r="D232" s="52" t="s">
        <v>93</v>
      </c>
      <c r="E232" s="88">
        <f>E215</f>
        <v>26000</v>
      </c>
      <c r="F232" s="52"/>
      <c r="G232" s="52" t="s">
        <v>111</v>
      </c>
      <c r="H232" s="52"/>
      <c r="I232" s="57"/>
      <c r="J232" s="52"/>
      <c r="K232" s="52"/>
      <c r="L232" s="52"/>
    </row>
    <row r="233" spans="1:12" x14ac:dyDescent="0.35">
      <c r="A233" s="52"/>
      <c r="B233" s="52"/>
      <c r="C233" s="52"/>
      <c r="D233" s="52" t="s">
        <v>68</v>
      </c>
      <c r="E233" s="114">
        <v>2</v>
      </c>
      <c r="F233" s="52"/>
      <c r="G233" s="52" t="s">
        <v>172</v>
      </c>
      <c r="H233" s="52"/>
      <c r="I233" s="57"/>
      <c r="J233" s="52"/>
      <c r="K233" s="52"/>
      <c r="L233" s="52"/>
    </row>
    <row r="234" spans="1:12" x14ac:dyDescent="0.35">
      <c r="A234" s="52"/>
      <c r="B234" s="52"/>
      <c r="C234" s="52"/>
      <c r="D234" s="52" t="s">
        <v>78</v>
      </c>
      <c r="E234" s="117">
        <f>Input!E109</f>
        <v>4</v>
      </c>
      <c r="F234" s="52"/>
      <c r="G234" s="52" t="s">
        <v>229</v>
      </c>
      <c r="H234" s="52"/>
      <c r="I234" s="57"/>
      <c r="J234" s="52"/>
      <c r="K234" s="52"/>
      <c r="L234" s="52"/>
    </row>
    <row r="235" spans="1:12" x14ac:dyDescent="0.35">
      <c r="A235" s="52"/>
      <c r="B235" s="52"/>
      <c r="C235" s="52"/>
      <c r="D235" s="49" t="s">
        <v>68</v>
      </c>
      <c r="E235" s="126">
        <f>Input!D13</f>
        <v>500</v>
      </c>
      <c r="F235" s="49"/>
      <c r="G235" s="49" t="s">
        <v>96</v>
      </c>
      <c r="H235" s="49"/>
      <c r="I235" s="57"/>
      <c r="J235" s="52"/>
      <c r="K235" s="52"/>
      <c r="L235" s="52"/>
    </row>
    <row r="236" spans="1:12" x14ac:dyDescent="0.35">
      <c r="A236" s="52"/>
      <c r="B236" s="52"/>
      <c r="C236" s="52"/>
      <c r="D236" s="50" t="s">
        <v>69</v>
      </c>
      <c r="E236" s="81">
        <f>ROUND(((E231+E232)/E233*(E234/100)/E235),2)</f>
        <v>6.24</v>
      </c>
      <c r="F236" s="50"/>
      <c r="G236" s="50" t="s">
        <v>81</v>
      </c>
      <c r="H236" s="50"/>
      <c r="I236" s="60"/>
      <c r="J236" s="52"/>
      <c r="K236" s="52"/>
      <c r="L236" s="52"/>
    </row>
    <row r="237" spans="1:12" x14ac:dyDescent="0.35">
      <c r="A237" s="52"/>
      <c r="B237" s="52"/>
      <c r="C237" s="52"/>
      <c r="D237" s="52"/>
      <c r="E237" s="52"/>
      <c r="F237" s="52"/>
      <c r="G237" s="52"/>
      <c r="H237" s="52"/>
      <c r="I237" s="52"/>
      <c r="J237" s="52"/>
      <c r="K237" s="52"/>
      <c r="L237" s="52"/>
    </row>
    <row r="238" spans="1:12" x14ac:dyDescent="0.35">
      <c r="A238" s="50" t="s">
        <v>238</v>
      </c>
      <c r="C238" s="52"/>
      <c r="D238" s="52"/>
      <c r="E238" s="52"/>
      <c r="F238" s="52"/>
      <c r="G238" s="52"/>
      <c r="H238" s="52"/>
      <c r="I238" s="52"/>
      <c r="J238" s="52"/>
      <c r="K238" s="52"/>
      <c r="L238" s="52"/>
    </row>
    <row r="239" spans="1:12" x14ac:dyDescent="0.35">
      <c r="A239" s="52"/>
      <c r="B239" s="52"/>
      <c r="C239" s="52"/>
      <c r="D239" s="52"/>
      <c r="E239" s="115">
        <f>Input!E136</f>
        <v>2</v>
      </c>
      <c r="F239" s="52"/>
      <c r="G239" s="52" t="s">
        <v>113</v>
      </c>
      <c r="H239" s="52"/>
      <c r="I239" s="57"/>
      <c r="J239" s="52"/>
      <c r="K239" s="52"/>
      <c r="L239" s="52"/>
    </row>
    <row r="240" spans="1:12" x14ac:dyDescent="0.35">
      <c r="A240" s="52"/>
      <c r="B240" s="52"/>
      <c r="C240" s="52"/>
      <c r="D240" s="49" t="s">
        <v>78</v>
      </c>
      <c r="E240" s="84">
        <f>Input!E137</f>
        <v>27</v>
      </c>
      <c r="F240" s="52"/>
      <c r="G240" s="49" t="s">
        <v>114</v>
      </c>
      <c r="H240" s="49"/>
      <c r="I240" s="57"/>
      <c r="J240" s="52"/>
      <c r="K240" s="52"/>
      <c r="L240" s="52"/>
    </row>
    <row r="241" spans="1:12" x14ac:dyDescent="0.35">
      <c r="A241" s="52"/>
      <c r="B241" s="52"/>
      <c r="C241" s="52"/>
      <c r="D241" s="50" t="s">
        <v>69</v>
      </c>
      <c r="E241" s="81">
        <f>ROUND(E239*E240,2)</f>
        <v>54</v>
      </c>
      <c r="F241" s="50"/>
      <c r="G241" s="50" t="s">
        <v>81</v>
      </c>
      <c r="H241" s="50"/>
      <c r="I241" s="60"/>
      <c r="J241" s="52"/>
      <c r="K241" s="52"/>
      <c r="L241" s="52"/>
    </row>
    <row r="242" spans="1:12" x14ac:dyDescent="0.35">
      <c r="A242" s="52"/>
      <c r="B242" s="52"/>
      <c r="C242" s="52"/>
      <c r="D242" s="52"/>
      <c r="E242" s="52"/>
      <c r="F242" s="52"/>
      <c r="G242" s="52"/>
      <c r="H242" s="52"/>
      <c r="I242" s="52"/>
      <c r="J242" s="52"/>
      <c r="K242" s="52"/>
      <c r="L242" s="52"/>
    </row>
    <row r="243" spans="1:12" x14ac:dyDescent="0.35">
      <c r="A243" s="52"/>
      <c r="B243" s="52"/>
      <c r="C243" s="52"/>
      <c r="D243" s="52"/>
      <c r="E243" s="52"/>
      <c r="F243" s="52"/>
      <c r="G243" s="52"/>
      <c r="H243" s="52"/>
      <c r="I243" s="52"/>
      <c r="J243" s="52"/>
      <c r="K243" s="52"/>
      <c r="L243" s="52"/>
    </row>
    <row r="244" spans="1:12" x14ac:dyDescent="0.35">
      <c r="H244" s="23"/>
    </row>
  </sheetData>
  <sheetProtection password="C6A6" sheet="1"/>
  <mergeCells count="5">
    <mergeCell ref="B2:I2"/>
    <mergeCell ref="E220:I220"/>
    <mergeCell ref="A1:I1"/>
    <mergeCell ref="E205:G205"/>
    <mergeCell ref="B180:I180"/>
  </mergeCells>
  <phoneticPr fontId="0" type="noConversion"/>
  <printOptions horizontalCentered="1"/>
  <pageMargins left="0.74803149606299213" right="0.74803149606299213" top="0.98425196850393704" bottom="0.98425196850393704" header="0.51181102362204722" footer="0.51181102362204722"/>
  <pageSetup scale="69" firstPageNumber="7" fitToHeight="4" orientation="portrait" useFirstPageNumber="1" horizontalDpi="180" r:id="rId1"/>
  <headerFooter scaleWithDoc="0">
    <oddHeader>&amp;L&amp;9Guidelines: Feedlot Finishing Cattle Production Costs&amp;R&amp;P</oddHeader>
    <oddFooter xml:space="preserve">&amp;L
</oddFooter>
  </headerFooter>
  <rowBreaks count="3" manualBreakCount="3">
    <brk id="60" max="8" man="1"/>
    <brk id="120" max="8" man="1"/>
    <brk id="179" max="8" man="1"/>
  </rowBreaks>
  <ignoredErrors>
    <ignoredError sqref="E166"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2:Q95"/>
  <sheetViews>
    <sheetView showGridLines="0" zoomScaleNormal="100" workbookViewId="0"/>
  </sheetViews>
  <sheetFormatPr defaultRowHeight="15.5" x14ac:dyDescent="0.35"/>
  <cols>
    <col min="3" max="3" width="10" customWidth="1"/>
    <col min="4" max="4" width="3.84375" customWidth="1"/>
    <col min="5" max="5" width="10.07421875" bestFit="1" customWidth="1"/>
    <col min="6" max="6" width="1.765625" customWidth="1"/>
    <col min="8" max="8" width="6.07421875" customWidth="1"/>
    <col min="9" max="9" width="5.765625" customWidth="1"/>
    <col min="10" max="10" width="10.23046875" customWidth="1"/>
  </cols>
  <sheetData>
    <row r="2" spans="1:10" ht="18" x14ac:dyDescent="0.4">
      <c r="A2" s="357" t="s">
        <v>157</v>
      </c>
      <c r="B2" s="358"/>
      <c r="C2" s="358"/>
      <c r="D2" s="358"/>
      <c r="E2" s="358"/>
      <c r="F2" s="358"/>
      <c r="G2" s="358"/>
      <c r="H2" s="358"/>
      <c r="I2" s="358"/>
      <c r="J2" s="358"/>
    </row>
    <row r="4" spans="1:10" x14ac:dyDescent="0.35">
      <c r="A4" s="6" t="s">
        <v>160</v>
      </c>
      <c r="B4" s="1"/>
      <c r="C4" s="1"/>
      <c r="D4" s="1"/>
      <c r="E4" s="1"/>
      <c r="F4" s="1"/>
      <c r="G4" s="1"/>
      <c r="H4" s="1"/>
      <c r="I4" s="1"/>
      <c r="J4" s="11" t="s">
        <v>156</v>
      </c>
    </row>
    <row r="5" spans="1:10" x14ac:dyDescent="0.35">
      <c r="A5" s="1"/>
      <c r="B5" s="2" t="s">
        <v>66</v>
      </c>
      <c r="C5" s="1"/>
      <c r="D5" s="1"/>
      <c r="E5" s="83">
        <f>Summary!F11</f>
        <v>692.74</v>
      </c>
      <c r="F5" s="3"/>
      <c r="G5" s="1" t="s">
        <v>67</v>
      </c>
      <c r="H5" s="1"/>
      <c r="I5" s="1"/>
      <c r="J5" s="10"/>
    </row>
    <row r="6" spans="1:10" x14ac:dyDescent="0.35">
      <c r="A6" s="1"/>
      <c r="B6" s="1"/>
      <c r="C6" s="1"/>
      <c r="D6" s="122" t="s">
        <v>68</v>
      </c>
      <c r="E6" s="116">
        <f>(Input!$D$17-(Input!$D$17*Input!$D$21/100))-(Input!$D$15-(Input!$D$15*Input!$D$22/100))</f>
        <v>680</v>
      </c>
      <c r="F6" s="9"/>
      <c r="G6" s="7" t="s">
        <v>292</v>
      </c>
      <c r="H6" s="1"/>
      <c r="I6" s="1"/>
      <c r="J6" s="10"/>
    </row>
    <row r="7" spans="1:10" x14ac:dyDescent="0.35">
      <c r="A7" s="1"/>
      <c r="B7" s="1"/>
      <c r="C7" s="1"/>
      <c r="D7" s="8" t="s">
        <v>69</v>
      </c>
      <c r="E7" s="81">
        <f>E5/E6</f>
        <v>1.0187352941176471</v>
      </c>
      <c r="F7" s="4"/>
      <c r="G7" s="5" t="s">
        <v>70</v>
      </c>
      <c r="H7" s="1"/>
      <c r="I7" s="1"/>
      <c r="J7" s="10"/>
    </row>
    <row r="8" spans="1:10" x14ac:dyDescent="0.35">
      <c r="A8" s="1"/>
      <c r="B8" s="1"/>
      <c r="C8" s="1"/>
      <c r="D8" s="8"/>
      <c r="E8" s="1"/>
      <c r="F8" s="1"/>
      <c r="G8" s="1"/>
      <c r="H8" s="1"/>
      <c r="I8" s="1"/>
      <c r="J8" s="1"/>
    </row>
    <row r="9" spans="1:10" x14ac:dyDescent="0.35">
      <c r="A9" s="1"/>
      <c r="B9" s="2" t="s">
        <v>71</v>
      </c>
      <c r="C9" s="1"/>
      <c r="D9" s="8"/>
      <c r="E9" s="83">
        <f>Summary!F25</f>
        <v>3422.4836800000003</v>
      </c>
      <c r="F9" s="3"/>
      <c r="G9" s="1" t="s">
        <v>72</v>
      </c>
      <c r="H9" s="1"/>
      <c r="I9" s="1"/>
      <c r="J9" s="10"/>
    </row>
    <row r="10" spans="1:10" x14ac:dyDescent="0.35">
      <c r="A10" s="1"/>
      <c r="B10" s="1"/>
      <c r="C10" s="1"/>
      <c r="D10" s="8" t="s">
        <v>7</v>
      </c>
      <c r="E10" s="83">
        <f>Details!$E$57</f>
        <v>2275</v>
      </c>
      <c r="F10" s="3"/>
      <c r="G10" s="1" t="s">
        <v>73</v>
      </c>
      <c r="H10" s="1"/>
      <c r="I10" s="1"/>
      <c r="J10" s="10"/>
    </row>
    <row r="11" spans="1:10" x14ac:dyDescent="0.35">
      <c r="A11" s="1"/>
      <c r="B11" s="1"/>
      <c r="C11" s="1"/>
      <c r="D11" s="122" t="s">
        <v>68</v>
      </c>
      <c r="E11" s="116">
        <f>(Input!$D$17-(Input!$D$17*Input!$D$21/100))-(Input!$D$15-(Input!$D$15*Input!$D$22/100))</f>
        <v>680</v>
      </c>
      <c r="F11" s="9"/>
      <c r="G11" s="7" t="s">
        <v>292</v>
      </c>
      <c r="H11" s="1"/>
      <c r="I11" s="1"/>
      <c r="J11" s="10"/>
    </row>
    <row r="12" spans="1:10" x14ac:dyDescent="0.35">
      <c r="A12" s="1"/>
      <c r="B12" s="1"/>
      <c r="C12" s="1"/>
      <c r="D12" s="8" t="s">
        <v>69</v>
      </c>
      <c r="E12" s="81">
        <f>(E9-E10)/E11</f>
        <v>1.6874760000000004</v>
      </c>
      <c r="F12" s="4"/>
      <c r="G12" s="5" t="s">
        <v>70</v>
      </c>
      <c r="H12" s="1"/>
      <c r="I12" s="1"/>
      <c r="J12" s="10"/>
    </row>
    <row r="13" spans="1:10" x14ac:dyDescent="0.35">
      <c r="A13" s="1"/>
      <c r="B13" s="1"/>
      <c r="C13" s="1"/>
      <c r="D13" s="8"/>
      <c r="E13" s="1"/>
      <c r="F13" s="1"/>
      <c r="G13" s="1"/>
      <c r="H13" s="1"/>
      <c r="I13" s="1"/>
      <c r="J13" s="1"/>
    </row>
    <row r="14" spans="1:10" x14ac:dyDescent="0.35">
      <c r="A14" s="1"/>
      <c r="B14" s="2" t="s">
        <v>280</v>
      </c>
      <c r="C14" s="1"/>
      <c r="D14" s="8"/>
      <c r="E14" s="83">
        <f>Summary!F25+Summary!F36</f>
        <v>3476.4836800000003</v>
      </c>
      <c r="F14" s="3"/>
      <c r="G14" s="97" t="s">
        <v>281</v>
      </c>
      <c r="H14" s="1"/>
      <c r="I14" s="1"/>
      <c r="J14" s="10"/>
    </row>
    <row r="15" spans="1:10" x14ac:dyDescent="0.35">
      <c r="A15" s="1"/>
      <c r="B15" s="1"/>
      <c r="C15" s="1"/>
      <c r="D15" s="8" t="s">
        <v>7</v>
      </c>
      <c r="E15" s="83">
        <f>Details!$E$57</f>
        <v>2275</v>
      </c>
      <c r="F15" s="3"/>
      <c r="G15" s="1" t="s">
        <v>73</v>
      </c>
      <c r="H15" s="1"/>
      <c r="I15" s="1"/>
      <c r="J15" s="10"/>
    </row>
    <row r="16" spans="1:10" x14ac:dyDescent="0.35">
      <c r="A16" s="1"/>
      <c r="B16" s="1"/>
      <c r="C16" s="1"/>
      <c r="D16" s="122" t="s">
        <v>68</v>
      </c>
      <c r="E16" s="116">
        <f>(Input!$D$17-(Input!$D$17*Input!$D$21/100))-(Input!$D$15-(Input!$D$15*Input!$D$22/100))</f>
        <v>680</v>
      </c>
      <c r="F16" s="9"/>
      <c r="G16" s="7" t="s">
        <v>292</v>
      </c>
      <c r="H16" s="1"/>
      <c r="I16" s="1"/>
      <c r="J16" s="10"/>
    </row>
    <row r="17" spans="1:10" x14ac:dyDescent="0.35">
      <c r="A17" s="1"/>
      <c r="B17" s="1"/>
      <c r="C17" s="1"/>
      <c r="D17" s="8" t="s">
        <v>69</v>
      </c>
      <c r="E17" s="81">
        <f>(E14-E15)/E16</f>
        <v>1.7668877647058827</v>
      </c>
      <c r="F17" s="4"/>
      <c r="G17" s="5" t="s">
        <v>70</v>
      </c>
      <c r="H17" s="1"/>
      <c r="I17" s="1"/>
      <c r="J17" s="10"/>
    </row>
    <row r="18" spans="1:10" x14ac:dyDescent="0.35">
      <c r="A18" s="1"/>
      <c r="B18" s="1"/>
      <c r="C18" s="1"/>
      <c r="D18" s="8"/>
      <c r="E18" s="1"/>
      <c r="F18" s="1"/>
      <c r="G18" s="1"/>
      <c r="H18" s="1"/>
      <c r="I18" s="1"/>
      <c r="J18" s="1"/>
    </row>
    <row r="19" spans="1:10" x14ac:dyDescent="0.35">
      <c r="A19" s="1"/>
      <c r="B19" s="2" t="s">
        <v>74</v>
      </c>
      <c r="C19" s="1"/>
      <c r="D19" s="8"/>
      <c r="E19" s="83">
        <f>Summary!F34</f>
        <v>3460.6336800000004</v>
      </c>
      <c r="F19" s="3"/>
      <c r="G19" s="1" t="s">
        <v>75</v>
      </c>
      <c r="H19" s="1"/>
      <c r="I19" s="1"/>
      <c r="J19" s="10"/>
    </row>
    <row r="20" spans="1:10" x14ac:dyDescent="0.35">
      <c r="A20" s="1"/>
      <c r="B20" s="1"/>
      <c r="C20" s="1"/>
      <c r="D20" s="8" t="s">
        <v>7</v>
      </c>
      <c r="E20" s="83">
        <f>Details!$E$57</f>
        <v>2275</v>
      </c>
      <c r="F20" s="3"/>
      <c r="G20" s="1" t="s">
        <v>73</v>
      </c>
      <c r="H20" s="1"/>
      <c r="I20" s="1"/>
      <c r="J20" s="10"/>
    </row>
    <row r="21" spans="1:10" x14ac:dyDescent="0.35">
      <c r="A21" s="1"/>
      <c r="B21" s="1"/>
      <c r="C21" s="1"/>
      <c r="D21" s="122" t="s">
        <v>68</v>
      </c>
      <c r="E21" s="116">
        <f>(Input!$D$17-(Input!$D$17*Input!$D$21/100))-(Input!$D$15-(Input!$D$15*Input!$D$22/100))</f>
        <v>680</v>
      </c>
      <c r="F21" s="9"/>
      <c r="G21" s="7" t="s">
        <v>292</v>
      </c>
      <c r="H21" s="1"/>
      <c r="I21" s="1"/>
      <c r="J21" s="10"/>
    </row>
    <row r="22" spans="1:10" x14ac:dyDescent="0.35">
      <c r="A22" s="1"/>
      <c r="B22" s="1"/>
      <c r="C22" s="1"/>
      <c r="D22" s="8" t="s">
        <v>69</v>
      </c>
      <c r="E22" s="81">
        <f>(E19-E20)/E21</f>
        <v>1.7435789411764711</v>
      </c>
      <c r="F22" s="4"/>
      <c r="G22" s="5" t="s">
        <v>70</v>
      </c>
      <c r="H22" s="1"/>
      <c r="I22" s="1"/>
      <c r="J22" s="10"/>
    </row>
    <row r="23" spans="1:10" x14ac:dyDescent="0.35">
      <c r="A23" s="1"/>
      <c r="B23" s="1"/>
      <c r="C23" s="1"/>
      <c r="D23" s="8"/>
      <c r="E23" s="1"/>
      <c r="F23" s="1"/>
      <c r="G23" s="1"/>
      <c r="H23" s="1"/>
      <c r="I23" s="1"/>
      <c r="J23" s="1"/>
    </row>
    <row r="24" spans="1:10" x14ac:dyDescent="0.35">
      <c r="A24" s="1"/>
      <c r="B24" s="2" t="s">
        <v>158</v>
      </c>
      <c r="C24" s="1"/>
      <c r="D24" s="8"/>
      <c r="E24" s="83">
        <f>Summary!F37</f>
        <v>3514.6336800000004</v>
      </c>
      <c r="F24" s="3"/>
      <c r="G24" s="1" t="s">
        <v>77</v>
      </c>
      <c r="H24" s="1"/>
      <c r="I24" s="1"/>
      <c r="J24" s="10"/>
    </row>
    <row r="25" spans="1:10" x14ac:dyDescent="0.35">
      <c r="A25" s="1"/>
      <c r="B25" s="1"/>
      <c r="C25" s="1"/>
      <c r="D25" s="8" t="s">
        <v>7</v>
      </c>
      <c r="E25" s="83">
        <f>Details!$E$57</f>
        <v>2275</v>
      </c>
      <c r="F25" s="3"/>
      <c r="G25" s="1" t="s">
        <v>73</v>
      </c>
      <c r="H25" s="1"/>
      <c r="I25" s="1"/>
      <c r="J25" s="10"/>
    </row>
    <row r="26" spans="1:10" x14ac:dyDescent="0.35">
      <c r="A26" s="1"/>
      <c r="B26" s="1"/>
      <c r="C26" s="1"/>
      <c r="D26" s="122" t="s">
        <v>68</v>
      </c>
      <c r="E26" s="116">
        <f>(Input!$D$17-(Input!$D$17*Input!$D$21/100))-(Input!$D$15-(Input!$D$15*Input!$D$22/100))</f>
        <v>680</v>
      </c>
      <c r="F26" s="9"/>
      <c r="G26" s="7" t="s">
        <v>292</v>
      </c>
      <c r="H26" s="1"/>
      <c r="I26" s="1"/>
      <c r="J26" s="10"/>
    </row>
    <row r="27" spans="1:10" x14ac:dyDescent="0.35">
      <c r="A27" s="1"/>
      <c r="B27" s="1"/>
      <c r="C27" s="1"/>
      <c r="D27" s="8" t="s">
        <v>69</v>
      </c>
      <c r="E27" s="81">
        <f>(E24-E25)/E26</f>
        <v>1.8229907058823536</v>
      </c>
      <c r="F27" s="4"/>
      <c r="G27" s="5" t="s">
        <v>70</v>
      </c>
      <c r="H27" s="1"/>
      <c r="I27" s="1"/>
      <c r="J27" s="10"/>
    </row>
    <row r="28" spans="1:10" x14ac:dyDescent="0.35">
      <c r="A28" s="6" t="s">
        <v>161</v>
      </c>
      <c r="B28" s="1"/>
      <c r="C28" s="1"/>
      <c r="D28" s="1"/>
      <c r="E28" s="1"/>
      <c r="F28" s="1"/>
      <c r="G28" s="1"/>
      <c r="H28" s="1"/>
      <c r="I28" s="1"/>
      <c r="J28" s="1"/>
    </row>
    <row r="29" spans="1:10" x14ac:dyDescent="0.35">
      <c r="A29" s="1"/>
      <c r="B29" s="2" t="s">
        <v>71</v>
      </c>
      <c r="C29" s="1"/>
      <c r="D29" s="8"/>
      <c r="E29" s="83">
        <f>Summary!F25</f>
        <v>3422.4836800000003</v>
      </c>
      <c r="F29" s="3"/>
      <c r="G29" s="1" t="s">
        <v>72</v>
      </c>
      <c r="H29" s="1"/>
      <c r="I29" s="1"/>
      <c r="J29" s="10"/>
    </row>
    <row r="30" spans="1:10" x14ac:dyDescent="0.35">
      <c r="A30" s="1"/>
      <c r="B30" s="1"/>
      <c r="C30" s="1"/>
      <c r="D30" s="122" t="s">
        <v>68</v>
      </c>
      <c r="E30" s="116">
        <f>(Input!$D$17-(Input!$D$17*Input!$D$21/100))</f>
        <v>1330</v>
      </c>
      <c r="F30" s="9"/>
      <c r="G30" s="7" t="s">
        <v>178</v>
      </c>
      <c r="H30" s="1"/>
      <c r="I30" s="1"/>
      <c r="J30" s="10"/>
    </row>
    <row r="31" spans="1:10" x14ac:dyDescent="0.35">
      <c r="A31" s="1"/>
      <c r="B31" s="1"/>
      <c r="C31" s="1"/>
      <c r="D31" s="5" t="s">
        <v>69</v>
      </c>
      <c r="E31" s="81">
        <f>E29/E30</f>
        <v>2.573296</v>
      </c>
      <c r="F31" s="4"/>
      <c r="G31" s="5" t="s">
        <v>70</v>
      </c>
      <c r="H31" s="1"/>
      <c r="I31" s="1"/>
      <c r="J31" s="10"/>
    </row>
    <row r="32" spans="1:10" x14ac:dyDescent="0.35">
      <c r="A32" s="1"/>
      <c r="D32" s="8"/>
      <c r="E32" s="1"/>
      <c r="F32" s="1"/>
      <c r="G32" s="1"/>
      <c r="H32" s="1"/>
      <c r="I32" s="1"/>
      <c r="J32" s="1"/>
    </row>
    <row r="33" spans="1:10" x14ac:dyDescent="0.35">
      <c r="A33" s="1"/>
      <c r="B33" s="2" t="s">
        <v>284</v>
      </c>
      <c r="C33" s="1"/>
      <c r="D33" s="8"/>
      <c r="E33" s="83">
        <f>Summary!F36+Summary!F25</f>
        <v>3476.4836800000003</v>
      </c>
      <c r="F33" s="3"/>
      <c r="G33" s="97" t="s">
        <v>286</v>
      </c>
      <c r="H33" s="1"/>
      <c r="I33" s="1"/>
      <c r="J33" s="10"/>
    </row>
    <row r="34" spans="1:10" x14ac:dyDescent="0.35">
      <c r="A34" s="1"/>
      <c r="B34" s="1"/>
      <c r="C34" s="1"/>
      <c r="D34" s="122" t="s">
        <v>68</v>
      </c>
      <c r="E34" s="116">
        <f>(Input!$D$17-(Input!$D$17*Input!$D$21/100))</f>
        <v>1330</v>
      </c>
      <c r="F34" s="9"/>
      <c r="G34" s="7" t="s">
        <v>178</v>
      </c>
      <c r="H34" s="1"/>
      <c r="I34" s="1"/>
      <c r="J34" s="10"/>
    </row>
    <row r="35" spans="1:10" x14ac:dyDescent="0.35">
      <c r="A35" s="1"/>
      <c r="B35" s="1"/>
      <c r="C35" s="1"/>
      <c r="D35" s="5" t="s">
        <v>69</v>
      </c>
      <c r="E35" s="81">
        <f>E33/E34</f>
        <v>2.6138975037593988</v>
      </c>
      <c r="F35" s="4"/>
      <c r="G35" s="5" t="s">
        <v>70</v>
      </c>
      <c r="H35" s="1"/>
      <c r="I35" s="1"/>
      <c r="J35" s="10"/>
    </row>
    <row r="36" spans="1:10" x14ac:dyDescent="0.35">
      <c r="A36" s="1"/>
      <c r="D36" s="8"/>
      <c r="E36" s="1"/>
      <c r="F36" s="1"/>
      <c r="G36" s="1"/>
      <c r="H36" s="1"/>
      <c r="I36" s="1"/>
      <c r="J36" s="1"/>
    </row>
    <row r="37" spans="1:10" x14ac:dyDescent="0.35">
      <c r="A37" s="1"/>
      <c r="B37" s="2" t="s">
        <v>65</v>
      </c>
      <c r="C37" s="1"/>
      <c r="D37" s="8"/>
      <c r="E37" s="83">
        <f>Summary!F34</f>
        <v>3460.6336800000004</v>
      </c>
      <c r="F37" s="3"/>
      <c r="G37" s="97" t="s">
        <v>285</v>
      </c>
      <c r="H37" s="1"/>
      <c r="I37" s="1"/>
      <c r="J37" s="10"/>
    </row>
    <row r="38" spans="1:10" x14ac:dyDescent="0.35">
      <c r="A38" s="1"/>
      <c r="B38" s="1"/>
      <c r="C38" s="1"/>
      <c r="D38" s="122" t="s">
        <v>68</v>
      </c>
      <c r="E38" s="116">
        <f>(Input!$D$17-(Input!$D$17*Input!$D$21/100))</f>
        <v>1330</v>
      </c>
      <c r="F38" s="9"/>
      <c r="G38" s="7" t="s">
        <v>178</v>
      </c>
      <c r="H38" s="1"/>
      <c r="I38" s="1"/>
      <c r="J38" s="10"/>
    </row>
    <row r="39" spans="1:10" x14ac:dyDescent="0.35">
      <c r="A39" s="1"/>
      <c r="B39" s="1"/>
      <c r="C39" s="1"/>
      <c r="D39" s="5" t="s">
        <v>69</v>
      </c>
      <c r="E39" s="81">
        <f>E37/E38</f>
        <v>2.6019802105263161</v>
      </c>
      <c r="F39" s="4"/>
      <c r="G39" s="5" t="s">
        <v>70</v>
      </c>
      <c r="H39" s="1"/>
      <c r="I39" s="1"/>
      <c r="J39" s="10"/>
    </row>
    <row r="40" spans="1:10" x14ac:dyDescent="0.35">
      <c r="A40" s="1"/>
      <c r="B40" s="1"/>
      <c r="C40" s="1"/>
      <c r="D40" s="8"/>
      <c r="E40" s="1"/>
      <c r="F40" s="1"/>
      <c r="G40" s="1"/>
      <c r="H40" s="1"/>
      <c r="I40" s="1"/>
      <c r="J40" s="1"/>
    </row>
    <row r="41" spans="1:10" x14ac:dyDescent="0.35">
      <c r="A41" s="1"/>
      <c r="B41" s="2" t="s">
        <v>158</v>
      </c>
      <c r="C41" s="1"/>
      <c r="D41" s="8"/>
      <c r="E41" s="83">
        <f>Summary!F37</f>
        <v>3514.6336800000004</v>
      </c>
      <c r="F41" s="3"/>
      <c r="G41" s="1" t="s">
        <v>159</v>
      </c>
      <c r="H41" s="1"/>
      <c r="I41" s="1"/>
      <c r="J41" s="10"/>
    </row>
    <row r="42" spans="1:10" x14ac:dyDescent="0.35">
      <c r="A42" s="1"/>
      <c r="B42" s="1"/>
      <c r="C42" s="1"/>
      <c r="D42" s="122" t="s">
        <v>68</v>
      </c>
      <c r="E42" s="116">
        <f>(Input!$D$17-(Input!$D$17*Input!$D$21/100))</f>
        <v>1330</v>
      </c>
      <c r="F42" s="9"/>
      <c r="G42" s="7" t="s">
        <v>178</v>
      </c>
      <c r="H42" s="1"/>
      <c r="I42" s="1"/>
      <c r="J42" s="10"/>
    </row>
    <row r="43" spans="1:10" x14ac:dyDescent="0.35">
      <c r="A43" s="1"/>
      <c r="B43" s="1"/>
      <c r="C43" s="1"/>
      <c r="D43" s="5" t="s">
        <v>69</v>
      </c>
      <c r="E43" s="81">
        <f>E41/E42</f>
        <v>2.6425817142857144</v>
      </c>
      <c r="F43" s="4"/>
      <c r="G43" s="5" t="s">
        <v>70</v>
      </c>
      <c r="H43" s="1"/>
      <c r="I43" s="1"/>
      <c r="J43" s="10"/>
    </row>
    <row r="44" spans="1:10" x14ac:dyDescent="0.35">
      <c r="A44" s="1"/>
      <c r="B44" s="1"/>
      <c r="C44" s="1"/>
      <c r="D44" s="5"/>
      <c r="E44" s="81"/>
      <c r="F44" s="4"/>
      <c r="G44" s="5"/>
      <c r="H44" s="1"/>
      <c r="I44" s="1"/>
      <c r="J44" s="1"/>
    </row>
    <row r="45" spans="1:10" x14ac:dyDescent="0.35">
      <c r="A45" s="6" t="s">
        <v>243</v>
      </c>
      <c r="B45" s="1"/>
      <c r="C45" s="1"/>
      <c r="D45" s="5"/>
      <c r="E45" s="81"/>
      <c r="F45" s="4"/>
      <c r="G45" s="5"/>
      <c r="H45" s="1"/>
      <c r="I45" s="1"/>
      <c r="J45" s="1"/>
    </row>
    <row r="46" spans="1:10" x14ac:dyDescent="0.35">
      <c r="A46" s="1"/>
      <c r="B46" s="2" t="s">
        <v>71</v>
      </c>
      <c r="C46" s="1"/>
      <c r="D46" s="5"/>
      <c r="E46" s="119">
        <f>(Input!$D$17-(Input!$D$17*Input!$D$21/100))</f>
        <v>1330</v>
      </c>
      <c r="F46" s="96"/>
      <c r="G46" s="97" t="s">
        <v>178</v>
      </c>
      <c r="H46" s="1"/>
      <c r="I46" s="1"/>
      <c r="J46" s="10"/>
    </row>
    <row r="47" spans="1:10" x14ac:dyDescent="0.35">
      <c r="A47" s="1"/>
      <c r="B47" s="1"/>
      <c r="C47" s="1"/>
      <c r="D47" s="100" t="s">
        <v>78</v>
      </c>
      <c r="E47" s="85">
        <f>Input!$D$18</f>
        <v>248</v>
      </c>
      <c r="F47" s="4"/>
      <c r="G47" s="98" t="s">
        <v>239</v>
      </c>
      <c r="H47" s="1"/>
      <c r="I47" s="1"/>
      <c r="J47" s="10"/>
    </row>
    <row r="48" spans="1:10" x14ac:dyDescent="0.35">
      <c r="A48" s="1"/>
      <c r="B48" s="1"/>
      <c r="C48" s="1"/>
      <c r="D48" s="100" t="s">
        <v>69</v>
      </c>
      <c r="E48" s="85">
        <f>(E46*E47)/100</f>
        <v>3298.4</v>
      </c>
      <c r="F48" s="99"/>
      <c r="G48" s="98" t="s">
        <v>240</v>
      </c>
      <c r="H48" s="1"/>
      <c r="I48" s="1"/>
      <c r="J48" s="10"/>
    </row>
    <row r="49" spans="1:10" x14ac:dyDescent="0.35">
      <c r="A49" s="1"/>
      <c r="B49" s="1"/>
      <c r="C49" s="1"/>
      <c r="D49" s="100" t="s">
        <v>7</v>
      </c>
      <c r="E49" s="85">
        <f>Summary!F25-Details!E57</f>
        <v>1147.4836800000003</v>
      </c>
      <c r="F49" s="4"/>
      <c r="G49" s="98" t="s">
        <v>241</v>
      </c>
      <c r="H49" s="1"/>
      <c r="I49" s="1"/>
      <c r="J49" s="10"/>
    </row>
    <row r="50" spans="1:10" x14ac:dyDescent="0.35">
      <c r="A50" s="1"/>
      <c r="B50" s="1"/>
      <c r="C50" s="1"/>
      <c r="D50" s="94" t="s">
        <v>68</v>
      </c>
      <c r="E50" s="120">
        <f>Input!$D$15-(Input!$D$15*(Input!$D$22/100))</f>
        <v>650</v>
      </c>
      <c r="F50" s="102"/>
      <c r="G50" s="101" t="s">
        <v>249</v>
      </c>
      <c r="H50" s="1"/>
      <c r="I50" s="1"/>
      <c r="J50" s="10"/>
    </row>
    <row r="51" spans="1:10" x14ac:dyDescent="0.35">
      <c r="A51" s="1"/>
      <c r="B51" s="1"/>
      <c r="C51" s="1"/>
      <c r="D51" s="95" t="s">
        <v>69</v>
      </c>
      <c r="E51" s="81">
        <f>(E48-E49)/E50</f>
        <v>3.3091020307692305</v>
      </c>
      <c r="F51" s="4"/>
      <c r="G51" s="5" t="s">
        <v>70</v>
      </c>
      <c r="H51" s="1"/>
      <c r="I51" s="1"/>
      <c r="J51" s="123"/>
    </row>
    <row r="52" spans="1:10" x14ac:dyDescent="0.35">
      <c r="A52" s="1"/>
      <c r="B52" s="1"/>
      <c r="C52" s="1"/>
      <c r="D52" s="5"/>
      <c r="E52" s="81"/>
      <c r="F52" s="4"/>
      <c r="G52" s="5"/>
      <c r="H52" s="1"/>
      <c r="I52" s="1"/>
      <c r="J52" s="1"/>
    </row>
    <row r="53" spans="1:10" x14ac:dyDescent="0.35">
      <c r="A53" s="1"/>
      <c r="B53" s="2" t="s">
        <v>284</v>
      </c>
      <c r="C53" s="1"/>
      <c r="D53" s="5"/>
      <c r="E53" s="119">
        <f>(Input!$D$17-(Input!$D$17*Input!$D$21/100))</f>
        <v>1330</v>
      </c>
      <c r="F53" s="4"/>
      <c r="G53" s="97" t="s">
        <v>178</v>
      </c>
      <c r="H53" s="1"/>
      <c r="I53" s="1"/>
      <c r="J53" s="10"/>
    </row>
    <row r="54" spans="1:10" x14ac:dyDescent="0.35">
      <c r="A54" s="1"/>
      <c r="B54" s="1"/>
      <c r="C54" s="1"/>
      <c r="D54" s="100" t="s">
        <v>78</v>
      </c>
      <c r="E54" s="85">
        <f>Input!$D$18</f>
        <v>248</v>
      </c>
      <c r="F54" s="4"/>
      <c r="G54" s="98" t="s">
        <v>239</v>
      </c>
      <c r="H54" s="1"/>
      <c r="I54" s="1"/>
      <c r="J54" s="10"/>
    </row>
    <row r="55" spans="1:10" x14ac:dyDescent="0.35">
      <c r="A55" s="1"/>
      <c r="B55" s="1"/>
      <c r="C55" s="1"/>
      <c r="D55" s="100" t="s">
        <v>69</v>
      </c>
      <c r="E55" s="85">
        <f>(E53*E54)/100</f>
        <v>3298.4</v>
      </c>
      <c r="F55" s="4"/>
      <c r="G55" s="98" t="s">
        <v>240</v>
      </c>
      <c r="H55" s="1"/>
      <c r="I55" s="1"/>
      <c r="J55" s="10"/>
    </row>
    <row r="56" spans="1:10" x14ac:dyDescent="0.35">
      <c r="A56" s="1"/>
      <c r="B56" s="1"/>
      <c r="C56" s="1"/>
      <c r="D56" s="100" t="s">
        <v>7</v>
      </c>
      <c r="E56" s="85">
        <f>(Summary!F25+Summary!F36)-Details!E57</f>
        <v>1201.4836800000003</v>
      </c>
      <c r="F56" s="4"/>
      <c r="G56" s="98" t="s">
        <v>283</v>
      </c>
      <c r="H56" s="1"/>
      <c r="I56" s="1"/>
      <c r="J56" s="10"/>
    </row>
    <row r="57" spans="1:10" x14ac:dyDescent="0.35">
      <c r="A57" s="1"/>
      <c r="B57" s="1"/>
      <c r="C57" s="1"/>
      <c r="D57" s="94" t="s">
        <v>68</v>
      </c>
      <c r="E57" s="120">
        <f>Input!$D$15-(Input!$D$15*(Input!$D$22/100))</f>
        <v>650</v>
      </c>
      <c r="F57" s="4"/>
      <c r="G57" s="101" t="s">
        <v>242</v>
      </c>
      <c r="H57" s="1"/>
      <c r="I57" s="1"/>
      <c r="J57" s="10"/>
    </row>
    <row r="58" spans="1:10" x14ac:dyDescent="0.35">
      <c r="A58" s="1"/>
      <c r="B58" s="1"/>
      <c r="C58" s="1"/>
      <c r="D58" s="95" t="s">
        <v>69</v>
      </c>
      <c r="E58" s="81">
        <f>(E55-E56)/E57</f>
        <v>3.2260251076923074</v>
      </c>
      <c r="F58" s="4"/>
      <c r="G58" s="5" t="s">
        <v>70</v>
      </c>
      <c r="H58" s="1"/>
      <c r="I58" s="1"/>
      <c r="J58" s="123"/>
    </row>
    <row r="59" spans="1:10" x14ac:dyDescent="0.35">
      <c r="A59" s="1"/>
      <c r="B59" s="1"/>
      <c r="C59" s="1"/>
      <c r="D59" s="5"/>
      <c r="E59" s="81"/>
      <c r="F59" s="4"/>
      <c r="G59" s="5"/>
      <c r="H59" s="1"/>
      <c r="I59" s="1"/>
      <c r="J59" s="1"/>
    </row>
    <row r="60" spans="1:10" x14ac:dyDescent="0.35">
      <c r="A60" s="1"/>
      <c r="B60" s="2" t="s">
        <v>65</v>
      </c>
      <c r="C60" s="1"/>
      <c r="D60" s="5"/>
      <c r="E60" s="119">
        <f>(Input!$D$17-(Input!$D$17*Input!$D$21/100))</f>
        <v>1330</v>
      </c>
      <c r="F60" s="4"/>
      <c r="G60" s="97" t="s">
        <v>178</v>
      </c>
      <c r="H60" s="1"/>
      <c r="I60" s="1"/>
      <c r="J60" s="10"/>
    </row>
    <row r="61" spans="1:10" x14ac:dyDescent="0.35">
      <c r="A61" s="1"/>
      <c r="B61" s="1"/>
      <c r="C61" s="1"/>
      <c r="D61" s="100" t="s">
        <v>78</v>
      </c>
      <c r="E61" s="85">
        <f>Input!$D$18</f>
        <v>248</v>
      </c>
      <c r="F61" s="4"/>
      <c r="G61" s="98" t="s">
        <v>239</v>
      </c>
      <c r="H61" s="1"/>
      <c r="I61" s="1"/>
      <c r="J61" s="10"/>
    </row>
    <row r="62" spans="1:10" x14ac:dyDescent="0.35">
      <c r="A62" s="1"/>
      <c r="B62" s="1"/>
      <c r="C62" s="1"/>
      <c r="D62" s="100" t="s">
        <v>69</v>
      </c>
      <c r="E62" s="85">
        <f>(E60*E61)/100</f>
        <v>3298.4</v>
      </c>
      <c r="F62" s="4"/>
      <c r="G62" s="98" t="s">
        <v>240</v>
      </c>
      <c r="H62" s="1"/>
      <c r="I62" s="1"/>
      <c r="J62" s="10"/>
    </row>
    <row r="63" spans="1:10" x14ac:dyDescent="0.35">
      <c r="A63" s="1"/>
      <c r="B63" s="1"/>
      <c r="C63" s="1"/>
      <c r="D63" s="100" t="s">
        <v>7</v>
      </c>
      <c r="E63" s="85">
        <f>Summary!F34-Details!E57</f>
        <v>1185.6336800000004</v>
      </c>
      <c r="F63" s="4"/>
      <c r="G63" s="98" t="s">
        <v>244</v>
      </c>
      <c r="H63" s="1"/>
      <c r="I63" s="1"/>
      <c r="J63" s="10"/>
    </row>
    <row r="64" spans="1:10" x14ac:dyDescent="0.35">
      <c r="A64" s="1"/>
      <c r="B64" s="1"/>
      <c r="C64" s="1"/>
      <c r="D64" s="94" t="s">
        <v>68</v>
      </c>
      <c r="E64" s="120">
        <f>Input!$D$15-(Input!$D$15*(Input!$D$22/100))</f>
        <v>650</v>
      </c>
      <c r="F64" s="4"/>
      <c r="G64" s="101" t="s">
        <v>242</v>
      </c>
      <c r="H64" s="1"/>
      <c r="I64" s="1"/>
      <c r="J64" s="10"/>
    </row>
    <row r="65" spans="1:10" x14ac:dyDescent="0.35">
      <c r="A65" s="1"/>
      <c r="B65" s="1"/>
      <c r="C65" s="1"/>
      <c r="D65" s="95" t="s">
        <v>69</v>
      </c>
      <c r="E65" s="81">
        <f>(E62-E63)/E64</f>
        <v>3.2504097230769227</v>
      </c>
      <c r="F65" s="4"/>
      <c r="G65" s="5" t="s">
        <v>70</v>
      </c>
      <c r="H65" s="1"/>
      <c r="I65" s="1"/>
      <c r="J65" s="123"/>
    </row>
    <row r="66" spans="1:10" x14ac:dyDescent="0.35">
      <c r="A66" s="1"/>
      <c r="B66" s="1"/>
      <c r="C66" s="1"/>
      <c r="D66" s="5"/>
      <c r="E66" s="81"/>
      <c r="F66" s="4"/>
      <c r="G66" s="101"/>
      <c r="H66" s="1"/>
      <c r="I66" s="1"/>
      <c r="J66" s="1"/>
    </row>
    <row r="67" spans="1:10" x14ac:dyDescent="0.35">
      <c r="A67" s="1"/>
      <c r="B67" s="2" t="s">
        <v>158</v>
      </c>
      <c r="C67" s="1"/>
      <c r="D67" s="5"/>
      <c r="E67" s="119">
        <f>(Input!$D$17-(Input!$D$17*Input!$D$21/100))</f>
        <v>1330</v>
      </c>
      <c r="F67" s="4"/>
      <c r="G67" s="97" t="s">
        <v>178</v>
      </c>
      <c r="H67" s="1"/>
      <c r="I67" s="1"/>
      <c r="J67" s="10"/>
    </row>
    <row r="68" spans="1:10" x14ac:dyDescent="0.35">
      <c r="A68" s="1"/>
      <c r="B68" s="1"/>
      <c r="C68" s="1"/>
      <c r="D68" s="100" t="s">
        <v>78</v>
      </c>
      <c r="E68" s="85">
        <f>Input!$D$18</f>
        <v>248</v>
      </c>
      <c r="F68" s="4"/>
      <c r="G68" s="98" t="s">
        <v>239</v>
      </c>
      <c r="H68" s="1"/>
      <c r="I68" s="1"/>
      <c r="J68" s="10"/>
    </row>
    <row r="69" spans="1:10" x14ac:dyDescent="0.35">
      <c r="A69" s="1"/>
      <c r="B69" s="1"/>
      <c r="C69" s="1"/>
      <c r="D69" s="100" t="s">
        <v>69</v>
      </c>
      <c r="E69" s="85">
        <f>(E67*E68)/100</f>
        <v>3298.4</v>
      </c>
      <c r="F69" s="4"/>
      <c r="G69" s="98" t="s">
        <v>240</v>
      </c>
      <c r="H69" s="1"/>
      <c r="I69" s="1"/>
      <c r="J69" s="10"/>
    </row>
    <row r="70" spans="1:10" x14ac:dyDescent="0.35">
      <c r="A70" s="1"/>
      <c r="B70" s="1"/>
      <c r="C70" s="1"/>
      <c r="D70" s="100" t="s">
        <v>7</v>
      </c>
      <c r="E70" s="85">
        <f>Summary!F37-Details!E57</f>
        <v>1239.6336800000004</v>
      </c>
      <c r="F70" s="4"/>
      <c r="G70" s="98" t="s">
        <v>245</v>
      </c>
      <c r="H70" s="1"/>
      <c r="I70" s="1"/>
      <c r="J70" s="10"/>
    </row>
    <row r="71" spans="1:10" x14ac:dyDescent="0.35">
      <c r="A71" s="1"/>
      <c r="B71" s="1"/>
      <c r="C71" s="1"/>
      <c r="D71" s="94" t="s">
        <v>68</v>
      </c>
      <c r="E71" s="120">
        <f>Input!$D$15-(Input!$D$15*(Input!$D$22/100))</f>
        <v>650</v>
      </c>
      <c r="F71" s="4"/>
      <c r="G71" s="101" t="s">
        <v>242</v>
      </c>
      <c r="H71" s="1"/>
      <c r="I71" s="1"/>
      <c r="J71" s="10"/>
    </row>
    <row r="72" spans="1:10" x14ac:dyDescent="0.35">
      <c r="A72" s="1"/>
      <c r="B72" s="1"/>
      <c r="C72" s="1"/>
      <c r="D72" s="95" t="s">
        <v>69</v>
      </c>
      <c r="E72" s="81">
        <f>(E69-E70)/E71</f>
        <v>3.1673327999999996</v>
      </c>
      <c r="F72" s="4"/>
      <c r="G72" s="5" t="s">
        <v>70</v>
      </c>
      <c r="H72" s="1"/>
      <c r="I72" s="1"/>
      <c r="J72" s="10"/>
    </row>
    <row r="73" spans="1:10" x14ac:dyDescent="0.35">
      <c r="A73" s="1"/>
      <c r="B73" s="1"/>
      <c r="C73" s="1"/>
      <c r="D73" s="95"/>
      <c r="E73" s="81"/>
      <c r="F73" s="4"/>
      <c r="G73" s="5"/>
      <c r="H73" s="1"/>
      <c r="I73" s="1"/>
      <c r="J73" s="1"/>
    </row>
    <row r="74" spans="1:10" s="131" customFormat="1" ht="15" customHeight="1" x14ac:dyDescent="0.35">
      <c r="A74" s="359" t="s">
        <v>355</v>
      </c>
      <c r="B74" s="359"/>
      <c r="C74" s="359"/>
      <c r="D74" s="359"/>
      <c r="E74" s="359"/>
      <c r="F74" s="359"/>
      <c r="G74" s="359"/>
      <c r="H74" s="359"/>
      <c r="I74" s="359"/>
      <c r="J74" s="359"/>
    </row>
    <row r="75" spans="1:10" s="318" customFormat="1" ht="18" customHeight="1" x14ac:dyDescent="0.35">
      <c r="A75" s="292" t="str">
        <f>"Gross Revenue =  Shrunk weight (lbs) x $/lb price (eg. "&amp;E46&amp;" x $"&amp;TEXT(E47/100,"0.00")&amp;"/lb = $"&amp;TEXT(E48,"0.00")&amp;")"</f>
        <v>Gross Revenue =  Shrunk weight (lbs) x $/lb price (eg. 1330 x $2.48/lb = $3298.40)</v>
      </c>
      <c r="B75" s="319"/>
      <c r="C75" s="319"/>
      <c r="D75" s="319"/>
      <c r="E75" s="319"/>
      <c r="F75" s="319"/>
      <c r="G75" s="319"/>
      <c r="H75" s="319"/>
      <c r="I75" s="319"/>
    </row>
    <row r="76" spans="1:10" s="318" customFormat="1" ht="18" customHeight="1" x14ac:dyDescent="0.35">
      <c r="A76" s="356" t="str">
        <f>"Return on Investment (ROI) = (Gross Revenue - Total Cost) / Total Cost 
(eg. ($"&amp;TEXT(Summary!F42,"0.00")&amp;" - $"&amp;TEXT(Summary!F37,"0.00")&amp;") / $"&amp;TEXT(Summary!F37,"0.00")&amp;" = "&amp;TEXT(100*Summary!F61,"0.0")&amp;"%"</f>
        <v>Return on Investment (ROI) = (Gross Revenue - Total Cost) / Total Cost 
(eg. ($3298.40 - $3514.63) / $3514.63 = -6.2%</v>
      </c>
      <c r="B76" s="356"/>
      <c r="C76" s="356"/>
      <c r="D76" s="356"/>
      <c r="E76" s="356"/>
      <c r="F76" s="356"/>
      <c r="G76" s="356"/>
      <c r="H76" s="356"/>
      <c r="I76" s="356"/>
      <c r="J76" s="356"/>
    </row>
    <row r="77" spans="1:10" s="318" customFormat="1" ht="18" customHeight="1" x14ac:dyDescent="0.35">
      <c r="A77" s="356"/>
      <c r="B77" s="356"/>
      <c r="C77" s="356"/>
      <c r="D77" s="356"/>
      <c r="E77" s="356"/>
      <c r="F77" s="356"/>
      <c r="G77" s="356"/>
      <c r="H77" s="356"/>
      <c r="I77" s="356"/>
      <c r="J77" s="356"/>
    </row>
    <row r="78" spans="1:10" s="318" customFormat="1" ht="16.5" customHeight="1" x14ac:dyDescent="0.35">
      <c r="A78" s="356" t="str">
        <f>"Return on Asset (ROA) = (Margin Over Operating - Labour - Building Depreciation - Machinery Depreciation) / (Building, Machinery &amp; Equipment Investment / Herd Size) 
(eg. ($"&amp;TEXT(Summary!H56,"0.00")&amp;" - $"&amp;TEXT(Summary!F36,"0.00")&amp;" - $"&amp;TEXT(Summary!F28,"0.00")&amp;" - $"&amp;TEXT(Summary!F29,"0.00")&amp;") / ($"&amp;TEXT(Input!D132,"#,###")&amp;" / "&amp;Input!D12&amp;") = "&amp;TEXT(100*Summary!F62,"0.0")&amp;"%"</f>
        <v>Return on Asset (ROA) = (Margin Over Operating - Labour - Building Depreciation - Machinery Depreciation) / (Building, Machinery &amp; Equipment Investment / Herd Size) 
(eg. ($-124.08 - $54.00 - $7.46 - $20.80) / ($212,890 / ) = -48.5%</v>
      </c>
      <c r="B78" s="356"/>
      <c r="C78" s="356"/>
      <c r="D78" s="356"/>
      <c r="E78" s="356"/>
      <c r="F78" s="356"/>
      <c r="G78" s="356"/>
      <c r="H78" s="356"/>
      <c r="I78" s="356"/>
      <c r="J78" s="356"/>
    </row>
    <row r="79" spans="1:10" s="318" customFormat="1" ht="16.5" customHeight="1" x14ac:dyDescent="0.35">
      <c r="A79" s="356"/>
      <c r="B79" s="356"/>
      <c r="C79" s="356"/>
      <c r="D79" s="356"/>
      <c r="E79" s="356"/>
      <c r="F79" s="356"/>
      <c r="G79" s="356"/>
      <c r="H79" s="356"/>
      <c r="I79" s="356"/>
      <c r="J79" s="356"/>
    </row>
    <row r="80" spans="1:10" s="318" customFormat="1" ht="16.5" customHeight="1" x14ac:dyDescent="0.35">
      <c r="A80" s="356"/>
      <c r="B80" s="356"/>
      <c r="C80" s="356"/>
      <c r="D80" s="356"/>
      <c r="E80" s="356"/>
      <c r="F80" s="356"/>
      <c r="G80" s="356"/>
      <c r="H80" s="356"/>
      <c r="I80" s="356"/>
      <c r="J80" s="356"/>
    </row>
    <row r="81" spans="1:17" s="131" customFormat="1" ht="15" customHeight="1" x14ac:dyDescent="0.35">
      <c r="A81" s="198"/>
      <c r="B81" s="27"/>
      <c r="C81" s="27"/>
      <c r="D81" s="27"/>
      <c r="E81" s="201"/>
      <c r="F81" s="202"/>
      <c r="G81" s="201"/>
      <c r="H81" s="201"/>
      <c r="I81" s="27"/>
      <c r="J81" s="132"/>
    </row>
    <row r="82" spans="1:17" s="173" customFormat="1" ht="18" customHeight="1" x14ac:dyDescent="0.35">
      <c r="A82" s="327"/>
      <c r="B82" s="327"/>
      <c r="C82" s="327"/>
      <c r="D82" s="327"/>
      <c r="E82" s="328"/>
      <c r="F82" s="204"/>
      <c r="G82" s="204"/>
      <c r="H82" s="204"/>
      <c r="I82" s="204"/>
      <c r="J82" s="212" t="s">
        <v>360</v>
      </c>
      <c r="K82" s="213"/>
      <c r="O82" s="205"/>
      <c r="P82" s="206"/>
      <c r="Q82" s="206"/>
    </row>
    <row r="83" spans="1:17" s="173" customFormat="1" ht="18" customHeight="1" x14ac:dyDescent="0.35">
      <c r="A83" s="194"/>
      <c r="B83" s="194"/>
      <c r="C83" s="194"/>
      <c r="D83" s="194"/>
      <c r="E83" s="203"/>
      <c r="F83" s="326"/>
      <c r="G83" s="326"/>
      <c r="H83" s="326"/>
      <c r="I83" s="326"/>
      <c r="J83" s="195"/>
      <c r="K83" s="326"/>
      <c r="O83" s="205"/>
      <c r="P83" s="206"/>
      <c r="Q83" s="206"/>
    </row>
    <row r="84" spans="1:17" s="173" customFormat="1" ht="18" customHeight="1" x14ac:dyDescent="0.35">
      <c r="A84" s="194"/>
      <c r="B84" s="194"/>
      <c r="C84" s="194"/>
      <c r="D84" s="194"/>
      <c r="E84" s="203"/>
      <c r="F84" s="326"/>
      <c r="G84" s="326"/>
      <c r="H84" s="326"/>
      <c r="I84" s="326"/>
      <c r="J84" s="195"/>
      <c r="K84" s="326"/>
      <c r="O84" s="205"/>
      <c r="P84" s="206"/>
      <c r="Q84" s="206"/>
    </row>
    <row r="85" spans="1:17" s="173" customFormat="1" ht="18" customHeight="1" x14ac:dyDescent="0.35">
      <c r="A85" s="194"/>
      <c r="B85" s="194"/>
      <c r="C85" s="194"/>
      <c r="D85" s="194"/>
      <c r="E85" s="203"/>
      <c r="F85" s="326"/>
      <c r="G85" s="326"/>
      <c r="H85" s="326"/>
      <c r="I85" s="326"/>
      <c r="J85" s="195"/>
      <c r="K85" s="326"/>
      <c r="O85" s="205"/>
      <c r="P85" s="206"/>
      <c r="Q85" s="206"/>
    </row>
    <row r="86" spans="1:17" s="173" customFormat="1" ht="18" customHeight="1" x14ac:dyDescent="0.35">
      <c r="A86" s="194"/>
      <c r="B86" s="194"/>
      <c r="C86" s="194"/>
      <c r="D86" s="194"/>
      <c r="E86" s="203"/>
      <c r="F86" s="326"/>
      <c r="G86" s="326"/>
      <c r="H86" s="326"/>
      <c r="I86" s="326"/>
      <c r="J86" s="195"/>
      <c r="K86" s="326"/>
      <c r="O86" s="205"/>
      <c r="P86" s="206"/>
      <c r="Q86" s="206"/>
    </row>
    <row r="87" spans="1:17" s="186" customFormat="1" ht="15" customHeight="1" x14ac:dyDescent="0.3">
      <c r="C87" s="184"/>
      <c r="D87" s="184"/>
      <c r="E87" s="174"/>
      <c r="F87" s="185"/>
      <c r="G87" s="184"/>
      <c r="H87" s="184"/>
      <c r="I87" s="184"/>
      <c r="J87" s="184"/>
    </row>
    <row r="88" spans="1:17" s="183" customFormat="1" ht="15" customHeight="1" x14ac:dyDescent="0.3">
      <c r="C88" s="180"/>
      <c r="D88" s="180"/>
      <c r="E88" s="180"/>
      <c r="F88" s="180"/>
      <c r="G88" s="180"/>
      <c r="H88" s="180"/>
      <c r="I88" s="180"/>
      <c r="J88" s="187"/>
    </row>
    <row r="89" spans="1:17" s="172" customFormat="1" ht="17.25" customHeight="1" x14ac:dyDescent="0.35">
      <c r="A89" s="194"/>
      <c r="C89" s="194"/>
      <c r="D89" s="194"/>
      <c r="E89" s="194"/>
      <c r="J89" s="195"/>
    </row>
    <row r="90" spans="1:17" s="178" customFormat="1" ht="14" x14ac:dyDescent="0.3">
      <c r="A90" s="177"/>
      <c r="D90" s="179"/>
    </row>
    <row r="91" spans="1:17" s="175" customFormat="1" ht="14" x14ac:dyDescent="0.3">
      <c r="A91" s="180"/>
      <c r="B91" s="176"/>
      <c r="C91" s="176"/>
      <c r="D91" s="176"/>
      <c r="E91" s="176"/>
      <c r="F91" s="176"/>
      <c r="G91" s="176"/>
      <c r="H91" s="176"/>
    </row>
    <row r="92" spans="1:17" s="183" customFormat="1" ht="8.25" customHeight="1" x14ac:dyDescent="0.3">
      <c r="A92" s="181"/>
      <c r="B92" s="181"/>
      <c r="C92" s="182"/>
      <c r="D92" s="182"/>
      <c r="E92" s="182"/>
      <c r="F92" s="182"/>
      <c r="G92" s="182"/>
      <c r="H92" s="182"/>
      <c r="I92" s="182"/>
    </row>
    <row r="93" spans="1:17" s="186" customFormat="1" ht="15" customHeight="1" x14ac:dyDescent="0.3">
      <c r="A93" s="179"/>
      <c r="B93" s="184"/>
      <c r="C93" s="184"/>
      <c r="D93" s="174"/>
      <c r="E93" s="185"/>
      <c r="F93" s="184"/>
      <c r="G93" s="184"/>
      <c r="H93" s="184"/>
      <c r="I93" s="184"/>
    </row>
    <row r="94" spans="1:17" s="183" customFormat="1" ht="15" customHeight="1" x14ac:dyDescent="0.3">
      <c r="A94" s="180"/>
      <c r="B94" s="180"/>
      <c r="C94" s="180"/>
      <c r="D94" s="180"/>
      <c r="E94" s="180"/>
      <c r="F94" s="180"/>
      <c r="G94" s="180"/>
      <c r="H94" s="180"/>
      <c r="I94" s="187"/>
    </row>
    <row r="95" spans="1:17" s="165" customFormat="1" x14ac:dyDescent="0.35"/>
  </sheetData>
  <sheetProtection password="C6A6" sheet="1" objects="1" scenarios="1"/>
  <mergeCells count="4">
    <mergeCell ref="A78:J80"/>
    <mergeCell ref="A2:J2"/>
    <mergeCell ref="A74:J74"/>
    <mergeCell ref="A76:J77"/>
  </mergeCells>
  <phoneticPr fontId="0" type="noConversion"/>
  <printOptions horizontalCentered="1"/>
  <pageMargins left="0.74803149606299213" right="0.74803149606299213" top="0.98425196850393704" bottom="0.98425196850393704" header="0.51181102362204722" footer="0.51181102362204722"/>
  <pageSetup scale="86" firstPageNumber="11" orientation="portrait" useFirstPageNumber="1" horizontalDpi="180" r:id="rId1"/>
  <headerFooter scaleWithDoc="0">
    <oddHeader>&amp;L&amp;9Guidelines:Feedlot Finishing Cattle Production Costs&amp;R&amp;P</oddHeader>
  </headerFooter>
  <rowBreaks count="1" manualBreakCount="1">
    <brk id="44"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2:H2"/>
  <sheetViews>
    <sheetView showGridLines="0" zoomScaleNormal="100" workbookViewId="0"/>
  </sheetViews>
  <sheetFormatPr defaultRowHeight="15.5" x14ac:dyDescent="0.35"/>
  <sheetData>
    <row r="2" spans="1:8" ht="18" x14ac:dyDescent="0.4">
      <c r="A2" s="360" t="s">
        <v>175</v>
      </c>
      <c r="B2" s="361"/>
      <c r="C2" s="361"/>
      <c r="D2" s="361"/>
      <c r="E2" s="361"/>
      <c r="F2" s="361"/>
      <c r="G2" s="361"/>
      <c r="H2" s="361"/>
    </row>
  </sheetData>
  <sheetProtection password="C6A6" sheet="1" objects="1" scenarios="1"/>
  <mergeCells count="1">
    <mergeCell ref="A2:H2"/>
  </mergeCells>
  <phoneticPr fontId="0" type="noConversion"/>
  <printOptions horizontalCentered="1"/>
  <pageMargins left="0.74803149606299213" right="0.74803149606299213" top="0.98425196850393704" bottom="0.98425196850393704" header="0.51181102362204722" footer="0.51181102362204722"/>
  <pageSetup firstPageNumber="13" orientation="portrait" useFirstPageNumber="1" horizontalDpi="180" verticalDpi="180" r:id="rId1"/>
  <headerFooter scaleWithDoc="0">
    <oddHeader>&amp;L&amp;9Guidelines: Feedlot Finishing Cattle Production Costs&amp;R&amp;P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5DE220-7A57-4176-A69A-BB70B1250BC1}"/>
</file>

<file path=customXml/itemProps2.xml><?xml version="1.0" encoding="utf-8"?>
<ds:datastoreItem xmlns:ds="http://schemas.openxmlformats.org/officeDocument/2006/customXml" ds:itemID="{931EAE64-40C0-48E9-A54A-AA3C44E749EB}"/>
</file>

<file path=customXml/itemProps3.xml><?xml version="1.0" encoding="utf-8"?>
<ds:datastoreItem xmlns:ds="http://schemas.openxmlformats.org/officeDocument/2006/customXml" ds:itemID="{54D94A58-FDEF-4B2A-8C65-79E12590CF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Summary</vt:lpstr>
      <vt:lpstr>Risk Analysis</vt:lpstr>
      <vt:lpstr>Input</vt:lpstr>
      <vt:lpstr>Details</vt:lpstr>
      <vt:lpstr>Breakeven</vt:lpstr>
      <vt:lpstr>Feedlot</vt:lpstr>
      <vt:lpstr>Breakeven!Print_Area</vt:lpstr>
      <vt:lpstr>Details!Print_Area</vt:lpstr>
      <vt:lpstr>Input!Print_Area</vt:lpstr>
      <vt:lpstr>Introduction!Print_Area</vt:lpstr>
      <vt:lpstr>Summary!Print_Area</vt:lpstr>
    </vt:vector>
  </TitlesOfParts>
  <Manager>Peter Blawat, P.Ag.</Manager>
  <Company>Manitoba Agriculture and Food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 Beef Feedlot Finishing 650-1400.xls</dc:title>
  <dc:subject>Cost of Production</dc:subject>
  <dc:creator>MAF Staff</dc:creator>
  <cp:keywords>Beef, Cost, Feeder, Feedlot, Finishing</cp:keywords>
  <dc:description>Contact:_x000d_
Farm Management Section_x000d_
903-401 York Ave._x000d_
Winnipeg, MB_x000d_
pblawat@gov.mb.ca</dc:description>
  <cp:lastModifiedBy>Mashinini, Khosi (ARD)</cp:lastModifiedBy>
  <cp:lastPrinted>2022-09-21T14:55:41Z</cp:lastPrinted>
  <dcterms:created xsi:type="dcterms:W3CDTF">1999-03-11T16:12:30Z</dcterms:created>
  <dcterms:modified xsi:type="dcterms:W3CDTF">2023-09-27T19:12:05Z</dcterms:modified>
  <cp:category>Administration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34</vt:lpwstr>
  </property>
  <property fmtid="{D5CDD505-2E9C-101B-9397-08002B2CF9AE}" pid="3" name="Category">
    <vt:lpwstr>Programs</vt:lpwstr>
  </property>
  <property fmtid="{D5CDD505-2E9C-101B-9397-08002B2CF9AE}" pid="4" name="ContentType">
    <vt:lpwstr>Document</vt:lpwstr>
  </property>
  <property fmtid="{D5CDD505-2E9C-101B-9397-08002B2CF9AE}" pid="5" name="ContentTypeId">
    <vt:lpwstr>0x01010007C3257931C4EB4CBE667AF33D71167E</vt:lpwstr>
  </property>
</Properties>
</file>