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50" windowWidth="15360" windowHeight="8385" activeTab="0"/>
  </bookViews>
  <sheets>
    <sheet name="Introduction" sheetId="1" r:id="rId1"/>
    <sheet name="Summary" sheetId="2" r:id="rId2"/>
    <sheet name="Summary 2" sheetId="3" r:id="rId3"/>
    <sheet name="Summary 3" sheetId="4" r:id="rId4"/>
    <sheet name="Input" sheetId="5" r:id="rId5"/>
    <sheet name="Details" sheetId="6" r:id="rId6"/>
  </sheets>
  <definedNames>
    <definedName name="_xlnm.Print_Area" localSheetId="5">'Details'!$A$1:$J$551</definedName>
    <definedName name="_xlnm.Print_Area" localSheetId="4">'Input'!$A$1:$K$28</definedName>
    <definedName name="_xlnm.Print_Area" localSheetId="0">'Introduction'!$A$1:$I$38</definedName>
  </definedNames>
  <calcPr fullCalcOnLoad="1"/>
</workbook>
</file>

<file path=xl/sharedStrings.xml><?xml version="1.0" encoding="utf-8"?>
<sst xmlns="http://schemas.openxmlformats.org/spreadsheetml/2006/main" count="881" uniqueCount="112">
  <si>
    <t>x</t>
  </si>
  <si>
    <t>÷</t>
  </si>
  <si>
    <t>=</t>
  </si>
  <si>
    <t>Your Cost</t>
  </si>
  <si>
    <t>Guidelines for Estimating</t>
  </si>
  <si>
    <t>Prepared by:</t>
  </si>
  <si>
    <t>Assumptions</t>
  </si>
  <si>
    <t>Date:</t>
  </si>
  <si>
    <r>
      <t>Disclaimer</t>
    </r>
    <r>
      <rPr>
        <sz val="10"/>
        <rFont val="Arial"/>
        <family val="2"/>
      </rPr>
      <t>: This budget is only a guide and is not intended as an in depth study of the cost of production of this industry. Interpretation and utilization of this information is the responsibility of the user.</t>
    </r>
  </si>
  <si>
    <t>For more information contact your local MAFRI office.</t>
  </si>
  <si>
    <t>Roy Arnott</t>
  </si>
  <si>
    <t>Business Development Specialist</t>
  </si>
  <si>
    <t>Killarney GO Centre 204-523-6424</t>
  </si>
  <si>
    <t>Gary Smart</t>
  </si>
  <si>
    <t>Somerset GO Centre 204-825-4067</t>
  </si>
  <si>
    <t>kWh</t>
  </si>
  <si>
    <t>ton</t>
  </si>
  <si>
    <t>Coal - lignite</t>
  </si>
  <si>
    <t>Btu per pound</t>
  </si>
  <si>
    <t>dry matter content</t>
  </si>
  <si>
    <t>Pounds per ton</t>
  </si>
  <si>
    <t>Million Btu per ton</t>
  </si>
  <si>
    <t>Heat Efficiency</t>
  </si>
  <si>
    <t>Total Btu per ton</t>
  </si>
  <si>
    <t>Net Btu per ton</t>
  </si>
  <si>
    <t>Cost per ton</t>
  </si>
  <si>
    <t>per Million Btu</t>
  </si>
  <si>
    <t>Btu per kWh</t>
  </si>
  <si>
    <t>kWh per ton</t>
  </si>
  <si>
    <t>per kWh</t>
  </si>
  <si>
    <t>Energy Cost Comparison</t>
  </si>
  <si>
    <t>Million Btu</t>
  </si>
  <si>
    <t>lb.</t>
  </si>
  <si>
    <t>Btu per cubic meter</t>
  </si>
  <si>
    <t>Net Btu per cubic meter</t>
  </si>
  <si>
    <t>Cost per cubic meter</t>
  </si>
  <si>
    <t>kWh per cubic meter</t>
  </si>
  <si>
    <t>bushel</t>
  </si>
  <si>
    <t>Manitoba Heating Fuels Cost Comparison</t>
  </si>
  <si>
    <t>Manitoba Heating Fuels Cost Comparison Input Assumptions</t>
  </si>
  <si>
    <t>n/a</t>
  </si>
  <si>
    <r>
      <t>m</t>
    </r>
    <r>
      <rPr>
        <b/>
        <vertAlign val="superscript"/>
        <sz val="10"/>
        <rFont val="Arial"/>
        <family val="2"/>
      </rPr>
      <t>3</t>
    </r>
  </si>
  <si>
    <t>Litre</t>
  </si>
  <si>
    <t>Fuel Type</t>
  </si>
  <si>
    <t>Btu's</t>
  </si>
  <si>
    <t>Units</t>
  </si>
  <si>
    <t>Moisture Content</t>
  </si>
  <si>
    <t>Heating Efficiency</t>
  </si>
  <si>
    <t>Cost per Unit</t>
  </si>
  <si>
    <t>Btu's per Unit</t>
  </si>
  <si>
    <r>
      <t>m</t>
    </r>
    <r>
      <rPr>
        <b/>
        <vertAlign val="superscript"/>
        <sz val="12"/>
        <rFont val="Arial"/>
        <family val="2"/>
      </rPr>
      <t>3</t>
    </r>
  </si>
  <si>
    <t>Electricity</t>
  </si>
  <si>
    <t># 2 Diesel Fuel Oil</t>
  </si>
  <si>
    <t xml:space="preserve">Willow Biomass </t>
  </si>
  <si>
    <t xml:space="preserve">Sunflower Hulls </t>
  </si>
  <si>
    <t xml:space="preserve">Oat Hull Pellets </t>
  </si>
  <si>
    <t>Wood Pellets #1</t>
  </si>
  <si>
    <t>cord</t>
  </si>
  <si>
    <t>pound</t>
  </si>
  <si>
    <t>Wheat HRS (60lb)</t>
  </si>
  <si>
    <t>Oats (34 lb)</t>
  </si>
  <si>
    <t>Barley (48 lb)</t>
  </si>
  <si>
    <t>Corn (56lb)</t>
  </si>
  <si>
    <t xml:space="preserve">Sunflower Seeds </t>
  </si>
  <si>
    <t>A.  Energy Cost Comparison</t>
  </si>
  <si>
    <t>Equivalent Price of Each Fuel</t>
  </si>
  <si>
    <t>How to Use This Chart:</t>
  </si>
  <si>
    <t>Comparative Fuel Cost Equation:</t>
  </si>
  <si>
    <t>Comparative Cost Fuel A = ((Heat Value Fuel A x (Heating Efficiency Fuel A x (1 - Moisture Content))) / (Heat Value Fuel B x (Heating Efficiency Fuel x (1 - Moisture Content)))) x Cost of Fuel B</t>
  </si>
  <si>
    <r>
      <t xml:space="preserve">Disclaimer: </t>
    </r>
    <r>
      <rPr>
        <sz val="10"/>
        <rFont val="Arial"/>
        <family val="2"/>
      </rPr>
      <t>This guide is not intended as an in depth study of the energy costs. Interpretation and utilization of this information is the responsibility of the user. If you require assistance with developing your individual budget, please contact your local Manitoba Agriculture, Food and Rural Initiatives office.</t>
    </r>
  </si>
  <si>
    <r>
      <t>Natural Gas -</t>
    </r>
    <r>
      <rPr>
        <b/>
        <sz val="12"/>
        <rFont val="Arial"/>
        <family val="2"/>
      </rPr>
      <t xml:space="preserve"> High Efficiency</t>
    </r>
  </si>
  <si>
    <t>Natural Gas - Low Efficiency</t>
  </si>
  <si>
    <t>Firewood (2100lb/124cft.)</t>
  </si>
  <si>
    <t>$ Per kWh</t>
  </si>
  <si>
    <t>Btu per litre</t>
  </si>
  <si>
    <t>Net Btu per litre</t>
  </si>
  <si>
    <t>Cost per litre</t>
  </si>
  <si>
    <t>kWh per litre</t>
  </si>
  <si>
    <t>Breakeven cost per ton</t>
  </si>
  <si>
    <t>Breakeven cost per kWh</t>
  </si>
  <si>
    <t>Heating Fuel Cost Comparison Worksheet</t>
  </si>
  <si>
    <t>Breakeven cost per cubic meter</t>
  </si>
  <si>
    <t>Breakeven cost per litre</t>
  </si>
  <si>
    <t>Coal-lignite</t>
  </si>
  <si>
    <t>$ Per Million Btu</t>
  </si>
  <si>
    <t>per Million Btu (coal lignite)</t>
  </si>
  <si>
    <t>per kWh (electricty)</t>
  </si>
  <si>
    <t>Breakeven cost per bushel</t>
  </si>
  <si>
    <t>Breakeven cost per pound</t>
  </si>
  <si>
    <t>Breakeven cost per cord</t>
  </si>
  <si>
    <t>Btu per pound (dry matter)</t>
  </si>
  <si>
    <t>Btu per pound (dry matter basis)</t>
  </si>
  <si>
    <r>
      <t>Based on</t>
    </r>
    <r>
      <rPr>
        <b/>
        <vertAlign val="superscript"/>
        <sz val="12"/>
        <rFont val="Arial"/>
        <family val="2"/>
      </rPr>
      <t>1</t>
    </r>
  </si>
  <si>
    <r>
      <t>Based on</t>
    </r>
    <r>
      <rPr>
        <b/>
        <vertAlign val="superscript"/>
        <sz val="12"/>
        <rFont val="Arial"/>
        <family val="2"/>
      </rPr>
      <t>2</t>
    </r>
  </si>
  <si>
    <r>
      <t>1</t>
    </r>
    <r>
      <rPr>
        <sz val="10"/>
        <rFont val="Arial"/>
        <family val="2"/>
      </rPr>
      <t>Breakeven heating value $/unit = $ per million Btu lignite coal x million Btu per unit</t>
    </r>
  </si>
  <si>
    <r>
      <t>2</t>
    </r>
    <r>
      <rPr>
        <sz val="10"/>
        <rFont val="Arial"/>
        <family val="2"/>
      </rPr>
      <t>Breakeven heating value $/unit = $ per kWh electricity x kWh per unit</t>
    </r>
  </si>
  <si>
    <t>1. The cost comparisons are based on the unit costs, energy contents, moisture contents and heating efficiency listed on the input page.</t>
  </si>
  <si>
    <t>Breakeven Heating Fuel Values</t>
  </si>
  <si>
    <t>Wheat Straw cubes</t>
  </si>
  <si>
    <t>Flax Straw cubes</t>
  </si>
  <si>
    <t>Switchgrass Biomass cubes</t>
  </si>
  <si>
    <r>
      <t xml:space="preserve">Disclaimer: </t>
    </r>
    <r>
      <rPr>
        <sz val="10"/>
        <rFont val="Arial"/>
        <family val="2"/>
      </rPr>
      <t>This guide is not intended as an in depth study of the energy costs. Interpretation and utilization of this information is the responsibility of the user. If you require assistance with developing your individual budget, please contact your lo</t>
    </r>
  </si>
  <si>
    <r>
      <t xml:space="preserve">Moisture </t>
    </r>
    <r>
      <rPr>
        <b/>
        <u val="single"/>
        <sz val="12"/>
        <rFont val="Arial"/>
        <family val="2"/>
      </rPr>
      <t>Content</t>
    </r>
  </si>
  <si>
    <r>
      <t xml:space="preserve">Heating </t>
    </r>
    <r>
      <rPr>
        <b/>
        <u val="single"/>
        <sz val="12"/>
        <rFont val="Arial"/>
        <family val="2"/>
      </rPr>
      <t>Efficiency</t>
    </r>
  </si>
  <si>
    <t>Recycled Fuel Pucks</t>
  </si>
  <si>
    <t xml:space="preserve">The chart is arranged so the equivalent prices of each fuel (the cost to deliver a given amount of heat based upon a specific heating efficiency) are located in the same column.  For example, if the price of # 2 diesel fuel oil is $0.53 per litre, the equivalent cost is 7.0 cents per kWh for electricity, $162 per ton for lignite coal, $183 per ton for wheat straw, or $119 per cord of firewood.  A relative cost comparison chart showing heating values for various fuels and biomass types can be helpful in deciding what type of fuel to use.  If the actual market value of a given fuel type is less than the equivalent comparative cost, then that fuel will offer potential saving for your heating costs.
</t>
  </si>
  <si>
    <t>Assumptions:</t>
  </si>
  <si>
    <t>Hemp Biomass cubes</t>
  </si>
  <si>
    <t>1. Cost per ton includes $40 per ton for biomass cube production costs for wheat straw, flax straw, switchgrass biomass,</t>
  </si>
  <si>
    <t xml:space="preserve">    and hemp biomass.</t>
  </si>
  <si>
    <t xml:space="preserve">The chart is arranged so the equivalent prices of each fuel (the cost to deliver a given amount of heat based upon a specific heating efficiency) are located in the same column.  For example, if the price of # 2 diesel fuel oil is $0.33 per litre, the equivalent cost is $100 per ton for lignite coal, $0.043 per kWh for electricity, $113 per ton for wheat straw, or $73 per cord of firewood.  A relative cost comparison chart showing heating values for various fuels and biomass types can be helpful in deciding what type of fuel to use.  If the actual market value of a given fuel type is less than the equivalent comparative cost, then that fuel will offer potential saving for your heating costs.
</t>
  </si>
  <si>
    <t>November, 2012</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</si>
</sst>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00"/>
    <numFmt numFmtId="166" formatCode="mmmm/yyyy"/>
    <numFmt numFmtId="167" formatCode="0.0"/>
    <numFmt numFmtId="168" formatCode="&quot;$&quot;#,##0"/>
    <numFmt numFmtId="169" formatCode="&quot;$&quot;#,##0.000"/>
    <numFmt numFmtId="170" formatCode="#,##0.0000"/>
    <numFmt numFmtId="171" formatCode="&quot;$&quot;#,##0.0000"/>
    <numFmt numFmtId="172" formatCode="&quot;$&quot;#,##0.00000"/>
    <numFmt numFmtId="173" formatCode="0.000"/>
    <numFmt numFmtId="174" formatCode="0.0000"/>
  </numFmts>
  <fonts count="61">
    <font>
      <sz val="10"/>
      <name val="Arial"/>
      <family val="0"/>
    </font>
    <font>
      <sz val="11"/>
      <color indexed="8"/>
      <name val="Calibri"/>
      <family val="2"/>
    </font>
    <font>
      <sz val="12"/>
      <name val="Arial"/>
      <family val="2"/>
    </font>
    <font>
      <b/>
      <sz val="12"/>
      <name val="Arial"/>
      <family val="2"/>
    </font>
    <font>
      <b/>
      <u val="single"/>
      <sz val="12"/>
      <name val="Arial"/>
      <family val="2"/>
    </font>
    <font>
      <b/>
      <sz val="14"/>
      <color indexed="18"/>
      <name val="Arial"/>
      <family val="2"/>
    </font>
    <font>
      <sz val="10"/>
      <color indexed="18"/>
      <name val="Arial"/>
      <family val="2"/>
    </font>
    <font>
      <b/>
      <sz val="12"/>
      <color indexed="12"/>
      <name val="Arial"/>
      <family val="2"/>
    </font>
    <font>
      <b/>
      <sz val="12"/>
      <color indexed="18"/>
      <name val="Arial"/>
      <family val="2"/>
    </font>
    <font>
      <u val="single"/>
      <sz val="12"/>
      <name val="Arial"/>
      <family val="2"/>
    </font>
    <font>
      <b/>
      <sz val="24"/>
      <color indexed="17"/>
      <name val="Arial"/>
      <family val="2"/>
    </font>
    <font>
      <sz val="18"/>
      <color indexed="17"/>
      <name val="Arial"/>
      <family val="2"/>
    </font>
    <font>
      <sz val="10"/>
      <color indexed="17"/>
      <name val="Arial"/>
      <family val="2"/>
    </font>
    <font>
      <b/>
      <sz val="12"/>
      <name val="Antique Olive"/>
      <family val="2"/>
    </font>
    <font>
      <sz val="12"/>
      <name val="WP Phonetic"/>
      <family val="2"/>
    </font>
    <font>
      <b/>
      <sz val="18"/>
      <color indexed="17"/>
      <name val="Arial"/>
      <family val="2"/>
    </font>
    <font>
      <b/>
      <sz val="10"/>
      <name val="Arial"/>
      <family val="2"/>
    </font>
    <font>
      <b/>
      <sz val="14"/>
      <name val="Arial"/>
      <family val="2"/>
    </font>
    <font>
      <sz val="14"/>
      <name val="Arial"/>
      <family val="2"/>
    </font>
    <font>
      <sz val="8"/>
      <name val="Arial"/>
      <family val="2"/>
    </font>
    <font>
      <b/>
      <sz val="10"/>
      <color indexed="12"/>
      <name val="Arial"/>
      <family val="2"/>
    </font>
    <font>
      <b/>
      <vertAlign val="superscript"/>
      <sz val="10"/>
      <name val="Arial"/>
      <family val="2"/>
    </font>
    <font>
      <b/>
      <vertAlign val="superscript"/>
      <sz val="12"/>
      <name val="Arial"/>
      <family val="2"/>
    </font>
    <font>
      <vertAlign val="superscript"/>
      <sz val="10"/>
      <name val="Arial"/>
      <family val="2"/>
    </font>
    <font>
      <sz val="16"/>
      <color indexed="18"/>
      <name val="Arial"/>
      <family val="2"/>
    </font>
    <font>
      <b/>
      <sz val="20"/>
      <color indexed="1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double"/>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165" fontId="2" fillId="0" borderId="0">
      <alignment vertical="top"/>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93">
    <xf numFmtId="0" fontId="0" fillId="0" borderId="0" xfId="0" applyAlignment="1">
      <alignment/>
    </xf>
    <xf numFmtId="0" fontId="2" fillId="0" borderId="0" xfId="0" applyFont="1" applyAlignment="1">
      <alignment/>
    </xf>
    <xf numFmtId="0" fontId="2" fillId="0" borderId="0" xfId="0" applyFont="1" applyAlignment="1">
      <alignment/>
    </xf>
    <xf numFmtId="165" fontId="2" fillId="0" borderId="0" xfId="0" applyNumberFormat="1"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right"/>
    </xf>
    <xf numFmtId="0" fontId="2" fillId="0" borderId="0" xfId="0" applyFont="1" applyAlignment="1">
      <alignment horizontal="left"/>
    </xf>
    <xf numFmtId="0" fontId="8" fillId="0" borderId="0" xfId="0" applyFont="1" applyAlignment="1">
      <alignment horizontal="center"/>
    </xf>
    <xf numFmtId="0" fontId="3" fillId="0" borderId="0" xfId="0" applyFont="1" applyAlignment="1">
      <alignment horizontal="left"/>
    </xf>
    <xf numFmtId="0" fontId="9" fillId="0" borderId="0" xfId="0" applyFont="1" applyAlignment="1">
      <alignment horizontal="left"/>
    </xf>
    <xf numFmtId="0" fontId="2" fillId="0" borderId="10" xfId="0" applyFont="1" applyBorder="1" applyAlignment="1">
      <alignment/>
    </xf>
    <xf numFmtId="3" fontId="9" fillId="0" borderId="0" xfId="0" applyNumberFormat="1" applyFont="1" applyAlignment="1">
      <alignment/>
    </xf>
    <xf numFmtId="0" fontId="9" fillId="0" borderId="0" xfId="0" applyFont="1" applyAlignment="1">
      <alignment/>
    </xf>
    <xf numFmtId="3" fontId="2" fillId="0" borderId="0" xfId="0" applyNumberFormat="1" applyFont="1" applyAlignment="1">
      <alignment/>
    </xf>
    <xf numFmtId="0" fontId="9" fillId="0" borderId="10" xfId="0" applyFont="1" applyBorder="1" applyAlignment="1">
      <alignment/>
    </xf>
    <xf numFmtId="165" fontId="3" fillId="0" borderId="0" xfId="0" applyNumberFormat="1" applyFont="1" applyAlignment="1">
      <alignment/>
    </xf>
    <xf numFmtId="16" fontId="14" fillId="0" borderId="0" xfId="0" applyNumberFormat="1" applyFont="1" applyAlignment="1">
      <alignment/>
    </xf>
    <xf numFmtId="0" fontId="11" fillId="0" borderId="0" xfId="0" applyFont="1" applyAlignment="1">
      <alignment horizontal="center"/>
    </xf>
    <xf numFmtId="0" fontId="12" fillId="0" borderId="0" xfId="0" applyFont="1" applyAlignment="1">
      <alignment/>
    </xf>
    <xf numFmtId="0" fontId="10" fillId="0" borderId="0" xfId="0" applyFont="1" applyAlignment="1">
      <alignment horizontal="center"/>
    </xf>
    <xf numFmtId="166" fontId="13" fillId="0" borderId="0" xfId="0" applyNumberFormat="1" applyFont="1" applyAlignment="1">
      <alignment horizontal="right"/>
    </xf>
    <xf numFmtId="0" fontId="2" fillId="0" borderId="0" xfId="0" applyFont="1" applyAlignment="1">
      <alignment/>
    </xf>
    <xf numFmtId="0" fontId="2" fillId="0" borderId="0" xfId="0" applyFont="1" applyAlignment="1">
      <alignment vertical="top" wrapText="1"/>
    </xf>
    <xf numFmtId="0" fontId="0" fillId="0" borderId="0" xfId="0" applyAlignment="1">
      <alignment/>
    </xf>
    <xf numFmtId="0" fontId="0" fillId="0" borderId="0" xfId="0" applyAlignment="1">
      <alignment wrapText="1"/>
    </xf>
    <xf numFmtId="0" fontId="2" fillId="0" borderId="0" xfId="0" applyFont="1" applyAlignment="1" applyProtection="1">
      <alignment/>
      <protection/>
    </xf>
    <xf numFmtId="0" fontId="0" fillId="0" borderId="0" xfId="0" applyAlignment="1" applyProtection="1">
      <alignment/>
      <protection/>
    </xf>
    <xf numFmtId="0" fontId="2" fillId="0" borderId="0" xfId="0" applyFont="1" applyAlignment="1" applyProtection="1">
      <alignment/>
      <protection locked="0"/>
    </xf>
    <xf numFmtId="0" fontId="3" fillId="0" borderId="0" xfId="0" applyFont="1" applyAlignment="1" applyProtection="1">
      <alignment horizontal="center"/>
      <protection/>
    </xf>
    <xf numFmtId="0" fontId="2" fillId="0" borderId="0" xfId="0" applyFont="1" applyAlignment="1" applyProtection="1">
      <alignment/>
      <protection/>
    </xf>
    <xf numFmtId="0" fontId="2" fillId="0" borderId="0" xfId="0" applyFont="1" applyBorder="1" applyAlignment="1">
      <alignment/>
    </xf>
    <xf numFmtId="0" fontId="0" fillId="0" borderId="0" xfId="0" applyAlignment="1">
      <alignment vertical="top" wrapText="1"/>
    </xf>
    <xf numFmtId="0" fontId="2" fillId="0" borderId="0" xfId="0" applyFont="1" applyAlignment="1">
      <alignment vertical="top"/>
    </xf>
    <xf numFmtId="0" fontId="18" fillId="0" borderId="0" xfId="0" applyFont="1" applyAlignment="1">
      <alignment/>
    </xf>
    <xf numFmtId="0" fontId="3" fillId="0" borderId="0" xfId="0" applyFont="1" applyAlignment="1">
      <alignment horizontal="center"/>
    </xf>
    <xf numFmtId="0" fontId="2" fillId="0" borderId="0" xfId="0" applyFont="1" applyAlignment="1">
      <alignment horizontal="center"/>
    </xf>
    <xf numFmtId="0" fontId="17" fillId="0" borderId="0" xfId="0" applyFont="1" applyAlignment="1">
      <alignment/>
    </xf>
    <xf numFmtId="0" fontId="0" fillId="0" borderId="0" xfId="0" applyAlignment="1">
      <alignment vertical="top"/>
    </xf>
    <xf numFmtId="2" fontId="2" fillId="0" borderId="0" xfId="0" applyNumberFormat="1" applyFont="1" applyAlignment="1">
      <alignment/>
    </xf>
    <xf numFmtId="0" fontId="0" fillId="0" borderId="0" xfId="0" applyFont="1" applyAlignment="1">
      <alignment vertical="top"/>
    </xf>
    <xf numFmtId="0" fontId="9" fillId="0" borderId="0" xfId="0" applyFont="1" applyAlignment="1">
      <alignment horizontal="center"/>
    </xf>
    <xf numFmtId="0" fontId="0" fillId="0" borderId="0" xfId="0" applyFont="1" applyBorder="1" applyAlignment="1">
      <alignment vertical="center"/>
    </xf>
    <xf numFmtId="17" fontId="17" fillId="0" borderId="0" xfId="55" applyNumberFormat="1" applyFont="1" applyAlignment="1">
      <alignment horizontal="left" vertical="top"/>
      <protection/>
    </xf>
    <xf numFmtId="0" fontId="15" fillId="0" borderId="0" xfId="0" applyFont="1" applyAlignment="1">
      <alignment horizontal="center"/>
    </xf>
    <xf numFmtId="0" fontId="16" fillId="0" borderId="0" xfId="0" applyFont="1" applyAlignment="1">
      <alignment/>
    </xf>
    <xf numFmtId="0" fontId="3" fillId="0" borderId="0" xfId="0" applyFont="1" applyBorder="1" applyAlignment="1">
      <alignment/>
    </xf>
    <xf numFmtId="165" fontId="2" fillId="0" borderId="0" xfId="0" applyNumberFormat="1" applyFont="1" applyBorder="1" applyAlignment="1">
      <alignment/>
    </xf>
    <xf numFmtId="0" fontId="3" fillId="0" borderId="0" xfId="0" applyNumberFormat="1" applyFont="1" applyAlignment="1">
      <alignment/>
    </xf>
    <xf numFmtId="4" fontId="2" fillId="0" borderId="0" xfId="0" applyNumberFormat="1" applyFont="1" applyAlignment="1">
      <alignment/>
    </xf>
    <xf numFmtId="3" fontId="3" fillId="0" borderId="0" xfId="0" applyNumberFormat="1" applyFont="1" applyAlignment="1">
      <alignment/>
    </xf>
    <xf numFmtId="9" fontId="9" fillId="0" borderId="0" xfId="0" applyNumberFormat="1" applyFont="1" applyAlignment="1">
      <alignment/>
    </xf>
    <xf numFmtId="170" fontId="9" fillId="0" borderId="0" xfId="0" applyNumberFormat="1" applyFont="1" applyAlignment="1">
      <alignment/>
    </xf>
    <xf numFmtId="4" fontId="9" fillId="0" borderId="0" xfId="0" applyNumberFormat="1" applyFont="1" applyAlignment="1">
      <alignment/>
    </xf>
    <xf numFmtId="171" fontId="3" fillId="0" borderId="0" xfId="0" applyNumberFormat="1" applyFont="1" applyAlignment="1">
      <alignment/>
    </xf>
    <xf numFmtId="165" fontId="4" fillId="0" borderId="0" xfId="0" applyNumberFormat="1" applyFont="1" applyBorder="1" applyAlignment="1">
      <alignment horizontal="center"/>
    </xf>
    <xf numFmtId="171" fontId="2" fillId="0" borderId="0" xfId="0" applyNumberFormat="1" applyFont="1" applyAlignment="1">
      <alignment/>
    </xf>
    <xf numFmtId="165" fontId="4" fillId="0" borderId="0" xfId="0" applyNumberFormat="1" applyFont="1" applyBorder="1" applyAlignment="1">
      <alignment horizontal="right"/>
    </xf>
    <xf numFmtId="165" fontId="2" fillId="0" borderId="0" xfId="0" applyNumberFormat="1" applyFont="1" applyBorder="1" applyAlignment="1">
      <alignment horizontal="right"/>
    </xf>
    <xf numFmtId="171" fontId="2" fillId="0" borderId="0" xfId="0" applyNumberFormat="1" applyFont="1" applyBorder="1" applyAlignment="1">
      <alignment horizontal="right"/>
    </xf>
    <xf numFmtId="169" fontId="2" fillId="0" borderId="0" xfId="0" applyNumberFormat="1" applyFont="1" applyAlignment="1">
      <alignment/>
    </xf>
    <xf numFmtId="0" fontId="2" fillId="0" borderId="0" xfId="0" applyFont="1" applyFill="1" applyAlignment="1">
      <alignment horizontal="center"/>
    </xf>
    <xf numFmtId="2" fontId="2" fillId="0" borderId="0" xfId="0" applyNumberFormat="1" applyFont="1" applyFill="1" applyAlignment="1">
      <alignment/>
    </xf>
    <xf numFmtId="0" fontId="2" fillId="0" borderId="0" xfId="0" applyFont="1" applyFill="1" applyAlignment="1">
      <alignment/>
    </xf>
    <xf numFmtId="0" fontId="9" fillId="0" borderId="0" xfId="0" applyFont="1" applyFill="1" applyAlignment="1">
      <alignment horizontal="center"/>
    </xf>
    <xf numFmtId="3" fontId="9" fillId="0" borderId="0" xfId="0" applyNumberFormat="1" applyFont="1" applyFill="1" applyAlignment="1">
      <alignment/>
    </xf>
    <xf numFmtId="0" fontId="9" fillId="0" borderId="0" xfId="0" applyFont="1" applyFill="1" applyAlignment="1">
      <alignment/>
    </xf>
    <xf numFmtId="165" fontId="3" fillId="0" borderId="0" xfId="0" applyNumberFormat="1" applyFont="1" applyFill="1" applyAlignment="1">
      <alignment/>
    </xf>
    <xf numFmtId="0" fontId="0" fillId="0" borderId="11" xfId="0" applyFont="1" applyBorder="1" applyAlignment="1">
      <alignment vertical="center"/>
    </xf>
    <xf numFmtId="165" fontId="2" fillId="0" borderId="11" xfId="0" applyNumberFormat="1" applyFont="1" applyBorder="1" applyAlignment="1">
      <alignment/>
    </xf>
    <xf numFmtId="165" fontId="3" fillId="0" borderId="0" xfId="0" applyNumberFormat="1" applyFont="1" applyBorder="1" applyAlignment="1">
      <alignment horizontal="center"/>
    </xf>
    <xf numFmtId="0" fontId="6" fillId="0" borderId="0" xfId="0" applyFont="1" applyAlignment="1">
      <alignment horizontal="center"/>
    </xf>
    <xf numFmtId="0" fontId="16" fillId="0" borderId="12" xfId="0" applyFont="1" applyBorder="1" applyAlignment="1" applyProtection="1">
      <alignment horizontal="center" vertical="center"/>
      <protection/>
    </xf>
    <xf numFmtId="0" fontId="16" fillId="0" borderId="0" xfId="0" applyFont="1" applyBorder="1" applyAlignment="1">
      <alignment vertical="center"/>
    </xf>
    <xf numFmtId="169" fontId="7" fillId="0" borderId="0" xfId="0" applyNumberFormat="1" applyFont="1" applyBorder="1" applyAlignment="1" applyProtection="1">
      <alignment horizontal="center"/>
      <protection locked="0"/>
    </xf>
    <xf numFmtId="0" fontId="16" fillId="0" borderId="0" xfId="0" applyFont="1" applyBorder="1" applyAlignment="1" applyProtection="1">
      <alignment horizontal="center" vertical="center"/>
      <protection/>
    </xf>
    <xf numFmtId="168" fontId="7" fillId="0" borderId="0" xfId="0" applyNumberFormat="1" applyFont="1" applyBorder="1" applyAlignment="1" applyProtection="1">
      <alignment horizontal="center"/>
      <protection locked="0"/>
    </xf>
    <xf numFmtId="3" fontId="16" fillId="0" borderId="0" xfId="0" applyNumberFormat="1" applyFont="1" applyFill="1" applyBorder="1" applyAlignment="1" applyProtection="1">
      <alignment horizontal="center" vertical="center"/>
      <protection/>
    </xf>
    <xf numFmtId="3" fontId="3" fillId="0" borderId="0" xfId="0" applyNumberFormat="1"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vertical="center"/>
    </xf>
    <xf numFmtId="3"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9" fontId="7" fillId="0" borderId="0" xfId="0" applyNumberFormat="1" applyFont="1" applyBorder="1" applyAlignment="1" applyProtection="1">
      <alignment horizontal="center" vertical="center"/>
      <protection locked="0"/>
    </xf>
    <xf numFmtId="9" fontId="7" fillId="0" borderId="0" xfId="0" applyNumberFormat="1" applyFont="1" applyFill="1" applyBorder="1" applyAlignment="1" applyProtection="1">
      <alignment horizontal="center" vertical="center"/>
      <protection locked="0"/>
    </xf>
    <xf numFmtId="3" fontId="3" fillId="0" borderId="0" xfId="0" applyNumberFormat="1" applyFont="1" applyFill="1" applyBorder="1" applyAlignment="1" applyProtection="1">
      <alignment horizontal="center" vertical="center"/>
      <protection/>
    </xf>
    <xf numFmtId="164" fontId="7" fillId="0" borderId="0" xfId="0" applyNumberFormat="1" applyFont="1" applyBorder="1" applyAlignment="1" applyProtection="1">
      <alignment horizontal="center" vertical="center"/>
      <protection locked="0"/>
    </xf>
    <xf numFmtId="0" fontId="2" fillId="0" borderId="0" xfId="0" applyFont="1" applyAlignment="1" applyProtection="1">
      <alignment horizontal="center"/>
      <protection/>
    </xf>
    <xf numFmtId="0" fontId="3" fillId="0" borderId="0" xfId="0" applyFont="1" applyBorder="1" applyAlignment="1">
      <alignment horizontal="center" vertical="center"/>
    </xf>
    <xf numFmtId="0" fontId="0" fillId="0" borderId="0" xfId="0" applyAlignment="1" applyProtection="1">
      <alignment horizontal="center"/>
      <protection/>
    </xf>
    <xf numFmtId="172" fontId="3" fillId="0" borderId="0" xfId="0" applyNumberFormat="1" applyFont="1" applyBorder="1" applyAlignment="1" applyProtection="1">
      <alignment horizontal="center"/>
      <protection locked="0"/>
    </xf>
    <xf numFmtId="168" fontId="3" fillId="0" borderId="0" xfId="0" applyNumberFormat="1" applyFont="1" applyBorder="1" applyAlignment="1" applyProtection="1">
      <alignment horizontal="center"/>
      <protection locked="0"/>
    </xf>
    <xf numFmtId="165" fontId="3" fillId="0" borderId="0" xfId="0" applyNumberFormat="1" applyFont="1" applyBorder="1" applyAlignment="1" applyProtection="1">
      <alignment horizontal="center"/>
      <protection locked="0"/>
    </xf>
    <xf numFmtId="0" fontId="16" fillId="0" borderId="0" xfId="0" applyFont="1" applyAlignment="1" applyProtection="1">
      <alignment horizontal="center"/>
      <protection/>
    </xf>
    <xf numFmtId="0" fontId="0" fillId="0" borderId="0" xfId="0" applyAlignment="1">
      <alignment vertical="center"/>
    </xf>
    <xf numFmtId="2" fontId="0" fillId="0" borderId="12" xfId="0" applyNumberFormat="1" applyBorder="1" applyAlignment="1">
      <alignment vertical="center"/>
    </xf>
    <xf numFmtId="2" fontId="0" fillId="0" borderId="12" xfId="0" applyNumberFormat="1" applyFill="1" applyBorder="1" applyAlignment="1">
      <alignment vertical="center"/>
    </xf>
    <xf numFmtId="2" fontId="0" fillId="33" borderId="12" xfId="0" applyNumberFormat="1" applyFill="1" applyBorder="1" applyAlignment="1">
      <alignment vertical="center"/>
    </xf>
    <xf numFmtId="1" fontId="0" fillId="0" borderId="12" xfId="0" applyNumberFormat="1" applyBorder="1" applyAlignment="1">
      <alignment vertical="center"/>
    </xf>
    <xf numFmtId="1" fontId="0" fillId="0" borderId="12" xfId="0" applyNumberFormat="1" applyFill="1" applyBorder="1" applyAlignment="1">
      <alignment vertical="center"/>
    </xf>
    <xf numFmtId="1" fontId="0" fillId="33" borderId="12" xfId="0" applyNumberFormat="1" applyFill="1" applyBorder="1" applyAlignment="1">
      <alignment vertical="center"/>
    </xf>
    <xf numFmtId="9" fontId="20" fillId="0" borderId="0" xfId="0" applyNumberFormat="1" applyFont="1" applyFill="1" applyBorder="1" applyAlignment="1">
      <alignment horizontal="center" vertical="center"/>
    </xf>
    <xf numFmtId="9" fontId="20" fillId="0" borderId="0" xfId="0" applyNumberFormat="1" applyFont="1" applyBorder="1" applyAlignment="1">
      <alignment horizontal="center" vertical="center"/>
    </xf>
    <xf numFmtId="1" fontId="0" fillId="0" borderId="0" xfId="0" applyNumberFormat="1" applyBorder="1" applyAlignment="1">
      <alignment vertical="center"/>
    </xf>
    <xf numFmtId="0" fontId="4" fillId="0" borderId="0" xfId="0" applyFont="1" applyFill="1" applyBorder="1" applyAlignment="1">
      <alignment vertical="center"/>
    </xf>
    <xf numFmtId="0" fontId="0" fillId="0" borderId="0" xfId="0" applyFont="1" applyAlignment="1">
      <alignment horizontal="left"/>
    </xf>
    <xf numFmtId="0" fontId="16" fillId="0" borderId="0" xfId="0" applyFont="1" applyAlignment="1">
      <alignment/>
    </xf>
    <xf numFmtId="2" fontId="0" fillId="0" borderId="0" xfId="0" applyNumberFormat="1" applyAlignment="1">
      <alignment/>
    </xf>
    <xf numFmtId="17" fontId="3" fillId="0" borderId="0" xfId="0" applyNumberFormat="1" applyFont="1" applyAlignment="1">
      <alignment/>
    </xf>
    <xf numFmtId="0" fontId="5" fillId="0" borderId="0" xfId="0" applyFont="1" applyBorder="1" applyAlignment="1">
      <alignment horizontal="left"/>
    </xf>
    <xf numFmtId="0" fontId="6" fillId="0" borderId="0" xfId="0" applyFont="1" applyBorder="1" applyAlignment="1">
      <alignment horizontal="left"/>
    </xf>
    <xf numFmtId="0" fontId="5" fillId="0" borderId="0" xfId="0" applyFont="1" applyAlignment="1">
      <alignment horizontal="left"/>
    </xf>
    <xf numFmtId="174" fontId="9" fillId="0" borderId="0" xfId="0" applyNumberFormat="1" applyFont="1" applyAlignment="1">
      <alignment/>
    </xf>
    <xf numFmtId="171" fontId="0" fillId="0" borderId="0" xfId="0" applyNumberFormat="1" applyAlignment="1">
      <alignment/>
    </xf>
    <xf numFmtId="171" fontId="6" fillId="0" borderId="0" xfId="0" applyNumberFormat="1" applyFont="1" applyAlignment="1">
      <alignment horizontal="center"/>
    </xf>
    <xf numFmtId="171" fontId="3" fillId="0" borderId="0" xfId="0" applyNumberFormat="1" applyFont="1" applyBorder="1" applyAlignment="1">
      <alignment horizontal="center"/>
    </xf>
    <xf numFmtId="171" fontId="4" fillId="0" borderId="0" xfId="0" applyNumberFormat="1" applyFont="1" applyBorder="1" applyAlignment="1">
      <alignment horizontal="center"/>
    </xf>
    <xf numFmtId="171" fontId="4" fillId="0" borderId="0" xfId="0" applyNumberFormat="1" applyFont="1" applyBorder="1" applyAlignment="1">
      <alignment horizontal="right"/>
    </xf>
    <xf numFmtId="171" fontId="2" fillId="0" borderId="0" xfId="0" applyNumberFormat="1" applyFont="1" applyBorder="1" applyAlignment="1">
      <alignment/>
    </xf>
    <xf numFmtId="171" fontId="2" fillId="0" borderId="11" xfId="0" applyNumberFormat="1" applyFont="1" applyBorder="1" applyAlignment="1">
      <alignment/>
    </xf>
    <xf numFmtId="171" fontId="0" fillId="0" borderId="0" xfId="0" applyNumberFormat="1" applyAlignment="1">
      <alignment vertical="top"/>
    </xf>
    <xf numFmtId="171" fontId="0" fillId="0" borderId="0" xfId="0" applyNumberFormat="1" applyFont="1" applyAlignment="1">
      <alignment vertical="top"/>
    </xf>
    <xf numFmtId="0" fontId="2" fillId="0" borderId="0" xfId="0" applyFont="1" applyAlignment="1">
      <alignment horizontal="right"/>
    </xf>
    <xf numFmtId="165" fontId="2" fillId="0" borderId="0" xfId="0" applyNumberFormat="1" applyFont="1" applyAlignment="1">
      <alignment horizontal="right"/>
    </xf>
    <xf numFmtId="2" fontId="9" fillId="0" borderId="0" xfId="0" applyNumberFormat="1" applyFont="1" applyFill="1" applyAlignment="1">
      <alignment/>
    </xf>
    <xf numFmtId="171" fontId="2" fillId="0" borderId="0" xfId="0" applyNumberFormat="1" applyFont="1" applyAlignment="1">
      <alignment horizontal="right"/>
    </xf>
    <xf numFmtId="165" fontId="3" fillId="0" borderId="0" xfId="0" applyNumberFormat="1" applyFont="1" applyBorder="1" applyAlignment="1">
      <alignment/>
    </xf>
    <xf numFmtId="165" fontId="4" fillId="0" borderId="0" xfId="0" applyNumberFormat="1" applyFont="1" applyBorder="1" applyAlignment="1">
      <alignment/>
    </xf>
    <xf numFmtId="168" fontId="2" fillId="0" borderId="0" xfId="0" applyNumberFormat="1" applyFont="1" applyBorder="1" applyAlignment="1">
      <alignment/>
    </xf>
    <xf numFmtId="2" fontId="2" fillId="0" borderId="0" xfId="0" applyNumberFormat="1" applyFont="1" applyAlignment="1">
      <alignment horizontal="left"/>
    </xf>
    <xf numFmtId="168" fontId="2" fillId="0" borderId="0" xfId="0" applyNumberFormat="1" applyFont="1" applyBorder="1" applyAlignment="1">
      <alignment horizontal="right"/>
    </xf>
    <xf numFmtId="168" fontId="2" fillId="0" borderId="0" xfId="0" applyNumberFormat="1" applyFont="1" applyAlignment="1">
      <alignment horizontal="right"/>
    </xf>
    <xf numFmtId="169" fontId="2" fillId="0" borderId="0" xfId="0" applyNumberFormat="1" applyFont="1" applyBorder="1" applyAlignment="1">
      <alignment/>
    </xf>
    <xf numFmtId="0" fontId="3" fillId="0" borderId="0" xfId="0" applyFont="1" applyFill="1" applyBorder="1" applyAlignment="1">
      <alignment vertical="center"/>
    </xf>
    <xf numFmtId="168" fontId="7" fillId="0" borderId="0" xfId="0" applyNumberFormat="1" applyFont="1" applyFill="1" applyBorder="1" applyAlignment="1" applyProtection="1">
      <alignment horizontal="center"/>
      <protection locked="0"/>
    </xf>
    <xf numFmtId="168" fontId="3" fillId="0" borderId="0" xfId="0" applyNumberFormat="1" applyFont="1" applyFill="1" applyBorder="1" applyAlignment="1" applyProtection="1">
      <alignment horizontal="center"/>
      <protection locked="0"/>
    </xf>
    <xf numFmtId="3" fontId="3" fillId="0" borderId="0"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9" fontId="7" fillId="0" borderId="0" xfId="0" applyNumberFormat="1" applyFont="1" applyFill="1" applyBorder="1" applyAlignment="1" applyProtection="1">
      <alignment horizontal="center" vertical="center"/>
      <protection locked="0"/>
    </xf>
    <xf numFmtId="0" fontId="2" fillId="0" borderId="0" xfId="0" applyFont="1" applyFill="1" applyAlignment="1" applyProtection="1">
      <alignment/>
      <protection/>
    </xf>
    <xf numFmtId="0" fontId="16" fillId="0" borderId="12" xfId="0" applyFont="1" applyFill="1" applyBorder="1" applyAlignment="1" applyProtection="1">
      <alignment horizontal="center" vertical="center"/>
      <protection/>
    </xf>
    <xf numFmtId="1" fontId="0" fillId="0" borderId="12" xfId="0" applyNumberFormat="1" applyFill="1" applyBorder="1" applyAlignment="1">
      <alignment vertical="center"/>
    </xf>
    <xf numFmtId="0" fontId="0" fillId="0" borderId="0" xfId="0" applyFill="1" applyAlignment="1">
      <alignment vertical="center"/>
    </xf>
    <xf numFmtId="1" fontId="0" fillId="33" borderId="12" xfId="0" applyNumberFormat="1" applyFill="1" applyBorder="1" applyAlignment="1">
      <alignment vertical="center"/>
    </xf>
    <xf numFmtId="2" fontId="23" fillId="0" borderId="11" xfId="0" applyNumberFormat="1" applyFont="1" applyBorder="1" applyAlignment="1">
      <alignment/>
    </xf>
    <xf numFmtId="2" fontId="23" fillId="0" borderId="0" xfId="0" applyNumberFormat="1" applyFont="1" applyBorder="1" applyAlignment="1">
      <alignment/>
    </xf>
    <xf numFmtId="0" fontId="0" fillId="0" borderId="11" xfId="0" applyBorder="1" applyAlignment="1">
      <alignment/>
    </xf>
    <xf numFmtId="0" fontId="17" fillId="0" borderId="0" xfId="0" applyFont="1" applyBorder="1" applyAlignment="1">
      <alignment/>
    </xf>
    <xf numFmtId="0" fontId="18" fillId="0" borderId="0" xfId="0" applyFont="1" applyAlignment="1">
      <alignment/>
    </xf>
    <xf numFmtId="0" fontId="17" fillId="0" borderId="0" xfId="0" applyFont="1" applyBorder="1" applyAlignment="1">
      <alignment/>
    </xf>
    <xf numFmtId="0" fontId="3" fillId="33" borderId="12" xfId="0" applyFont="1" applyFill="1" applyBorder="1" applyAlignment="1">
      <alignment/>
    </xf>
    <xf numFmtId="0" fontId="3" fillId="33" borderId="12" xfId="0" applyFont="1" applyFill="1" applyBorder="1" applyAlignment="1" applyProtection="1">
      <alignment horizontal="center" vertical="center"/>
      <protection/>
    </xf>
    <xf numFmtId="1" fontId="3" fillId="33" borderId="12" xfId="0" applyNumberFormat="1" applyFont="1" applyFill="1" applyBorder="1" applyAlignment="1">
      <alignment/>
    </xf>
    <xf numFmtId="3" fontId="3" fillId="33" borderId="12" xfId="0" applyNumberFormat="1" applyFont="1" applyFill="1" applyBorder="1" applyAlignment="1">
      <alignment horizontal="center" vertical="center"/>
    </xf>
    <xf numFmtId="9" fontId="3" fillId="33" borderId="12" xfId="0" applyNumberFormat="1" applyFont="1" applyFill="1" applyBorder="1" applyAlignment="1">
      <alignment horizontal="center" vertical="center"/>
    </xf>
    <xf numFmtId="3" fontId="16" fillId="0" borderId="12" xfId="0" applyNumberFormat="1" applyFont="1" applyBorder="1" applyAlignment="1">
      <alignment horizontal="center" vertical="center"/>
    </xf>
    <xf numFmtId="0" fontId="16" fillId="0" borderId="12" xfId="0" applyFont="1" applyFill="1" applyBorder="1" applyAlignment="1">
      <alignment horizontal="center" vertical="center"/>
    </xf>
    <xf numFmtId="9" fontId="16" fillId="0" borderId="12" xfId="0" applyNumberFormat="1" applyFont="1" applyBorder="1" applyAlignment="1">
      <alignment horizontal="center" vertical="center"/>
    </xf>
    <xf numFmtId="3" fontId="16" fillId="0" borderId="12" xfId="0" applyNumberFormat="1" applyFont="1" applyFill="1" applyBorder="1" applyAlignment="1">
      <alignment horizontal="center" vertical="center"/>
    </xf>
    <xf numFmtId="9" fontId="16" fillId="0" borderId="12" xfId="0" applyNumberFormat="1" applyFont="1" applyFill="1" applyBorder="1" applyAlignment="1">
      <alignment horizontal="center" vertical="center"/>
    </xf>
    <xf numFmtId="0" fontId="3" fillId="33" borderId="12" xfId="0" applyFont="1" applyFill="1" applyBorder="1" applyAlignment="1">
      <alignment horizontal="center" vertical="center"/>
    </xf>
    <xf numFmtId="167" fontId="3" fillId="33" borderId="12" xfId="0" applyNumberFormat="1" applyFont="1" applyFill="1" applyBorder="1" applyAlignment="1">
      <alignment vertical="center"/>
    </xf>
    <xf numFmtId="0" fontId="16" fillId="0" borderId="12" xfId="0" applyFont="1" applyBorder="1" applyAlignment="1">
      <alignment vertical="center"/>
    </xf>
    <xf numFmtId="0" fontId="3" fillId="33" borderId="12" xfId="0" applyFont="1" applyFill="1" applyBorder="1" applyAlignment="1">
      <alignment vertical="center"/>
    </xf>
    <xf numFmtId="173" fontId="0" fillId="0" borderId="12" xfId="0" applyNumberFormat="1" applyBorder="1" applyAlignment="1">
      <alignment vertical="center"/>
    </xf>
    <xf numFmtId="173" fontId="0" fillId="0" borderId="12" xfId="0" applyNumberFormat="1" applyFill="1" applyBorder="1" applyAlignment="1">
      <alignment vertical="center"/>
    </xf>
    <xf numFmtId="0" fontId="2"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173" fontId="0" fillId="33" borderId="12" xfId="0" applyNumberFormat="1" applyFill="1" applyBorder="1" applyAlignment="1">
      <alignment vertical="center"/>
    </xf>
    <xf numFmtId="165" fontId="7" fillId="0" borderId="0" xfId="0" applyNumberFormat="1" applyFont="1" applyBorder="1" applyAlignment="1" applyProtection="1">
      <alignment horizontal="center" vertical="center"/>
      <protection locked="0"/>
    </xf>
    <xf numFmtId="9" fontId="3" fillId="0" borderId="0" xfId="0" applyNumberFormat="1" applyFont="1" applyBorder="1" applyAlignment="1" applyProtection="1">
      <alignment horizontal="center"/>
      <protection locked="0"/>
    </xf>
    <xf numFmtId="165" fontId="7" fillId="0" borderId="0" xfId="0" applyNumberFormat="1" applyFont="1" applyFill="1" applyBorder="1" applyAlignment="1" applyProtection="1">
      <alignment horizontal="center"/>
      <protection locked="0"/>
    </xf>
    <xf numFmtId="172" fontId="7" fillId="0" borderId="0" xfId="0" applyNumberFormat="1" applyFont="1" applyFill="1" applyBorder="1" applyAlignment="1" applyProtection="1">
      <alignment horizontal="center"/>
      <protection locked="0"/>
    </xf>
    <xf numFmtId="0" fontId="18" fillId="0" borderId="0" xfId="0" applyFont="1" applyAlignment="1">
      <alignment vertical="top" wrapText="1"/>
    </xf>
    <xf numFmtId="0" fontId="24" fillId="0" borderId="0" xfId="0" applyFont="1" applyAlignment="1">
      <alignment horizontal="center"/>
    </xf>
    <xf numFmtId="0" fontId="25" fillId="0" borderId="0" xfId="0" applyFont="1" applyAlignment="1">
      <alignment horizontal="center"/>
    </xf>
    <xf numFmtId="165" fontId="16" fillId="0" borderId="0" xfId="55" applyFont="1" applyAlignment="1">
      <alignment horizontal="left" vertical="top" wrapText="1"/>
      <protection/>
    </xf>
    <xf numFmtId="0" fontId="2" fillId="0" borderId="0" xfId="0" applyFont="1" applyAlignment="1">
      <alignment horizontal="left" vertical="justify" wrapText="1"/>
    </xf>
    <xf numFmtId="0" fontId="2" fillId="0" borderId="0" xfId="0" applyFont="1" applyAlignment="1">
      <alignment horizontal="left" vertical="justify" wrapText="1"/>
    </xf>
    <xf numFmtId="0" fontId="0" fillId="0" borderId="0" xfId="0" applyFont="1" applyAlignment="1">
      <alignment horizontal="left"/>
    </xf>
    <xf numFmtId="0" fontId="16" fillId="0" borderId="0" xfId="0" applyNumberFormat="1" applyFont="1" applyAlignment="1">
      <alignment horizontal="left" vertical="center" wrapText="1"/>
    </xf>
    <xf numFmtId="0" fontId="0" fillId="0" borderId="0" xfId="0" applyNumberFormat="1" applyAlignment="1">
      <alignment horizontal="left" vertical="center" wrapText="1"/>
    </xf>
    <xf numFmtId="0" fontId="3" fillId="0" borderId="12" xfId="0" applyFont="1" applyBorder="1" applyAlignment="1">
      <alignment horizontal="left" vertical="center"/>
    </xf>
    <xf numFmtId="0" fontId="16" fillId="0" borderId="12" xfId="0" applyFont="1" applyBorder="1" applyAlignment="1">
      <alignment horizontal="center" vertical="center"/>
    </xf>
    <xf numFmtId="0" fontId="16" fillId="0" borderId="12" xfId="0" applyFont="1" applyBorder="1" applyAlignment="1">
      <alignment horizontal="center" vertical="center" wrapText="1"/>
    </xf>
    <xf numFmtId="0" fontId="17" fillId="0" borderId="12" xfId="0" applyFont="1" applyBorder="1" applyAlignment="1">
      <alignment horizontal="center" vertical="center"/>
    </xf>
    <xf numFmtId="0" fontId="4" fillId="0" borderId="0" xfId="0" applyFont="1" applyBorder="1" applyAlignment="1">
      <alignment horizontal="center"/>
    </xf>
    <xf numFmtId="0" fontId="5" fillId="0" borderId="0" xfId="0" applyFont="1" applyAlignment="1" applyProtection="1">
      <alignment horizontal="center"/>
      <protection/>
    </xf>
    <xf numFmtId="0" fontId="4" fillId="0" borderId="0" xfId="0" applyFont="1" applyBorder="1" applyAlignment="1">
      <alignment horizontal="left"/>
    </xf>
    <xf numFmtId="0" fontId="3" fillId="0" borderId="0" xfId="0" applyFont="1" applyBorder="1" applyAlignment="1">
      <alignment horizontal="center" wrapText="1"/>
    </xf>
    <xf numFmtId="0" fontId="5" fillId="0" borderId="0" xfId="0" applyFont="1" applyAlignment="1">
      <alignment horizontal="center"/>
    </xf>
    <xf numFmtId="0" fontId="17" fillId="0" borderId="0" xfId="0" applyFont="1" applyAlignment="1">
      <alignment horizontal="center" wrapText="1"/>
    </xf>
    <xf numFmtId="0" fontId="2"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Farrow-Wean 500"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13</xdr:row>
      <xdr:rowOff>0</xdr:rowOff>
    </xdr:from>
    <xdr:to>
      <xdr:col>8</xdr:col>
      <xdr:colOff>1143000</xdr:colOff>
      <xdr:row>36</xdr:row>
      <xdr:rowOff>57150</xdr:rowOff>
    </xdr:to>
    <xdr:sp>
      <xdr:nvSpPr>
        <xdr:cNvPr id="1" name="Text Box 3"/>
        <xdr:cNvSpPr txBox="1">
          <a:spLocks noChangeArrowheads="1"/>
        </xdr:cNvSpPr>
      </xdr:nvSpPr>
      <xdr:spPr>
        <a:xfrm>
          <a:off x="504825" y="2962275"/>
          <a:ext cx="5657850" cy="4152900"/>
        </a:xfrm>
        <a:prstGeom prst="rect">
          <a:avLst/>
        </a:prstGeom>
        <a:solidFill>
          <a:srgbClr val="FFFFFF"/>
        </a:solid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This guide is designed to provide planning information and a format for calculating and comparing the costs of various Manitoba heating fuels, including biomass.  The costs included in this budget were not obtained from a survey of commercial energy providers or producers, nor do they necessarily represent the average heat energy cost in Manitoba.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assumptions on which the costs were calculated are clearly defined in the supporting pages. They were developed by using a combination of recommended practices and methods.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When interpreting the costs contained in this budget for an individual situation, adjustments may be necessary. Each assumption must be examined and adjustments made where necessary.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budget can be useful for comparative purposes. Comparison of costs can be made with other available energy types; comparing hearing costs over time; or comparing actual results with projections made earlier.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Disclaimer</a:t>
          </a:r>
          <a:r>
            <a:rPr lang="en-US" cap="none" sz="1200" b="0" i="0" u="none" baseline="0">
              <a:solidFill>
                <a:srgbClr val="000000"/>
              </a:solidFill>
              <a:latin typeface="Arial"/>
              <a:ea typeface="Arial"/>
              <a:cs typeface="Arial"/>
            </a:rPr>
            <a:t>: This budget is only a guide and is not intended as an in depth study of the cost of heat energy industry. Interpretation and utilization of this information is the responsibility of the user. If you require assistance with developing your individual budget, please contact your local Manitoba Agriculture, Food and Rural Initiatives office.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A1:K28"/>
  <sheetViews>
    <sheetView showGridLines="0" tabSelected="1" zoomScalePageLayoutView="0" workbookViewId="0" topLeftCell="A1">
      <selection activeCell="A1" sqref="A1:I1"/>
    </sheetView>
  </sheetViews>
  <sheetFormatPr defaultColWidth="9.140625" defaultRowHeight="12.75"/>
  <cols>
    <col min="1" max="2" width="9.140625" style="2" customWidth="1"/>
    <col min="3" max="3" width="11.28125" style="2" bestFit="1" customWidth="1"/>
    <col min="4" max="8" width="9.140625" style="2" customWidth="1"/>
    <col min="9" max="9" width="19.28125" style="2" bestFit="1" customWidth="1"/>
    <col min="10" max="16384" width="9.140625" style="2" customWidth="1"/>
  </cols>
  <sheetData>
    <row r="1" spans="1:9" ht="20.25">
      <c r="A1" s="174" t="s">
        <v>4</v>
      </c>
      <c r="B1" s="174"/>
      <c r="C1" s="174"/>
      <c r="D1" s="174"/>
      <c r="E1" s="174"/>
      <c r="F1" s="174"/>
      <c r="G1" s="174"/>
      <c r="H1" s="174"/>
      <c r="I1" s="174"/>
    </row>
    <row r="2" spans="1:11" ht="26.25">
      <c r="A2" s="175" t="s">
        <v>38</v>
      </c>
      <c r="B2" s="175"/>
      <c r="C2" s="175"/>
      <c r="D2" s="175"/>
      <c r="E2" s="175"/>
      <c r="F2" s="175"/>
      <c r="G2" s="175"/>
      <c r="H2" s="175"/>
      <c r="I2" s="175"/>
      <c r="J2" s="45"/>
      <c r="K2" s="19"/>
    </row>
    <row r="3" spans="7:11" ht="30">
      <c r="G3" s="36"/>
      <c r="H3" s="20"/>
      <c r="I3" s="20"/>
      <c r="J3" s="20"/>
      <c r="K3" s="20"/>
    </row>
    <row r="4" spans="7:11" ht="23.25">
      <c r="G4" s="35"/>
      <c r="H4" s="44"/>
      <c r="J4" s="44"/>
      <c r="K4" s="18"/>
    </row>
    <row r="7" spans="3:8" ht="18">
      <c r="C7" s="17"/>
      <c r="G7" s="37" t="s">
        <v>7</v>
      </c>
      <c r="H7" s="43" t="s">
        <v>111</v>
      </c>
    </row>
    <row r="8" ht="15.75">
      <c r="K8" s="21"/>
    </row>
    <row r="9" spans="10:11" ht="15.75">
      <c r="J9" s="24"/>
      <c r="K9" s="21"/>
    </row>
    <row r="12" spans="2:10" ht="18">
      <c r="B12" s="34"/>
      <c r="C12" s="34"/>
      <c r="D12" s="34"/>
      <c r="E12" s="34"/>
      <c r="F12" s="34"/>
      <c r="G12" s="34"/>
      <c r="H12" s="34"/>
      <c r="I12" s="34"/>
      <c r="J12" s="34"/>
    </row>
    <row r="13" spans="2:10" ht="15">
      <c r="B13" s="25"/>
      <c r="C13" s="25"/>
      <c r="D13" s="25"/>
      <c r="E13" s="25"/>
      <c r="F13" s="25"/>
      <c r="G13" s="25"/>
      <c r="H13" s="25"/>
      <c r="I13" s="25"/>
      <c r="J13" s="25"/>
    </row>
    <row r="14" spans="2:11" ht="15">
      <c r="B14" s="25"/>
      <c r="C14" s="25"/>
      <c r="D14" s="25"/>
      <c r="E14" s="25"/>
      <c r="F14" s="25"/>
      <c r="G14" s="25"/>
      <c r="H14" s="25"/>
      <c r="I14" s="25"/>
      <c r="J14" s="25"/>
      <c r="K14" s="22"/>
    </row>
    <row r="15" spans="2:10" ht="15">
      <c r="B15" s="173"/>
      <c r="C15" s="173"/>
      <c r="D15" s="173"/>
      <c r="E15" s="173"/>
      <c r="F15" s="173"/>
      <c r="G15" s="173"/>
      <c r="H15" s="173"/>
      <c r="I15" s="173"/>
      <c r="J15" s="173"/>
    </row>
    <row r="16" spans="2:11" ht="15">
      <c r="B16" s="173"/>
      <c r="C16" s="173"/>
      <c r="D16" s="173"/>
      <c r="E16" s="173"/>
      <c r="F16" s="173"/>
      <c r="G16" s="173"/>
      <c r="H16" s="173"/>
      <c r="I16" s="173"/>
      <c r="J16" s="173"/>
      <c r="K16" s="22"/>
    </row>
    <row r="17" spans="2:10" ht="15">
      <c r="B17" s="173"/>
      <c r="C17" s="173"/>
      <c r="D17" s="173"/>
      <c r="E17" s="173"/>
      <c r="F17" s="173"/>
      <c r="G17" s="173"/>
      <c r="H17" s="173"/>
      <c r="I17" s="173"/>
      <c r="J17" s="173"/>
    </row>
    <row r="18" spans="2:10" ht="15">
      <c r="B18" s="173"/>
      <c r="C18" s="173"/>
      <c r="D18" s="173"/>
      <c r="E18" s="173"/>
      <c r="F18" s="173"/>
      <c r="G18" s="173"/>
      <c r="H18" s="173"/>
      <c r="I18" s="173"/>
      <c r="J18" s="173"/>
    </row>
    <row r="19" spans="2:10" ht="15">
      <c r="B19" s="173"/>
      <c r="C19" s="173"/>
      <c r="D19" s="173"/>
      <c r="E19" s="173"/>
      <c r="F19" s="173"/>
      <c r="G19" s="173"/>
      <c r="H19" s="173"/>
      <c r="I19" s="173"/>
      <c r="J19" s="173"/>
    </row>
    <row r="20" spans="2:10" ht="15">
      <c r="B20" s="32"/>
      <c r="C20" s="32"/>
      <c r="D20" s="32"/>
      <c r="E20" s="32"/>
      <c r="F20" s="32"/>
      <c r="G20" s="32"/>
      <c r="H20" s="32"/>
      <c r="I20" s="32"/>
      <c r="J20" s="32"/>
    </row>
    <row r="22" spans="2:10" ht="15">
      <c r="B22" s="173"/>
      <c r="C22" s="173"/>
      <c r="D22" s="173"/>
      <c r="E22" s="173"/>
      <c r="F22" s="173"/>
      <c r="G22" s="173"/>
      <c r="H22" s="173"/>
      <c r="I22" s="173"/>
      <c r="J22" s="173"/>
    </row>
    <row r="23" spans="2:10" ht="15">
      <c r="B23" s="173"/>
      <c r="C23" s="173"/>
      <c r="D23" s="173"/>
      <c r="E23" s="173"/>
      <c r="F23" s="173"/>
      <c r="G23" s="173"/>
      <c r="H23" s="173"/>
      <c r="I23" s="173"/>
      <c r="J23" s="173"/>
    </row>
    <row r="24" spans="2:10" ht="15">
      <c r="B24" s="23"/>
      <c r="C24" s="23"/>
      <c r="D24" s="23"/>
      <c r="E24" s="23"/>
      <c r="F24" s="23"/>
      <c r="G24" s="23"/>
      <c r="H24" s="23"/>
      <c r="I24" s="23"/>
      <c r="J24" s="23"/>
    </row>
    <row r="26" spans="2:10" ht="15">
      <c r="B26" s="33"/>
      <c r="C26" s="33"/>
      <c r="D26" s="33"/>
      <c r="E26" s="33"/>
      <c r="F26" s="33"/>
      <c r="G26" s="33"/>
      <c r="H26" s="33"/>
      <c r="I26" s="33"/>
      <c r="J26" s="33"/>
    </row>
    <row r="27" spans="2:10" ht="15">
      <c r="B27" s="33"/>
      <c r="C27" s="33"/>
      <c r="D27" s="33"/>
      <c r="E27" s="33"/>
      <c r="F27" s="33"/>
      <c r="G27" s="33"/>
      <c r="H27" s="33"/>
      <c r="I27" s="33"/>
      <c r="J27" s="33"/>
    </row>
    <row r="28" spans="2:10" ht="15">
      <c r="B28" s="33"/>
      <c r="C28" s="33"/>
      <c r="D28" s="33"/>
      <c r="E28" s="33"/>
      <c r="F28" s="33"/>
      <c r="G28" s="33"/>
      <c r="H28" s="33"/>
      <c r="I28" s="33"/>
      <c r="J28" s="33"/>
    </row>
  </sheetData>
  <sheetProtection password="C6A6" sheet="1" objects="1" scenarios="1"/>
  <mergeCells count="4">
    <mergeCell ref="B22:J23"/>
    <mergeCell ref="B15:J19"/>
    <mergeCell ref="A1:I1"/>
    <mergeCell ref="A2:I2"/>
  </mergeCells>
  <printOptions/>
  <pageMargins left="0.75" right="0.75" top="0.75" bottom="1" header="0.5" footer="0.5"/>
  <pageSetup horizontalDpi="600" verticalDpi="600" orientation="portrait" scale="90" r:id="rId3"/>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B1:G61"/>
  <sheetViews>
    <sheetView zoomScalePageLayoutView="0" workbookViewId="0" topLeftCell="A4">
      <selection activeCell="C17" sqref="C17"/>
    </sheetView>
  </sheetViews>
  <sheetFormatPr defaultColWidth="9.140625" defaultRowHeight="12.75"/>
  <cols>
    <col min="1" max="1" width="2.28125" style="0" customWidth="1"/>
    <col min="2" max="2" width="7.00390625" style="107" customWidth="1"/>
    <col min="3" max="3" width="49.421875" style="0" customWidth="1"/>
    <col min="4" max="4" width="18.7109375" style="0" customWidth="1"/>
    <col min="5" max="5" width="19.7109375" style="113" customWidth="1"/>
    <col min="6" max="6" width="5.140625" style="0" customWidth="1"/>
    <col min="7" max="7" width="11.7109375" style="0" customWidth="1"/>
  </cols>
  <sheetData>
    <row r="1" ht="15">
      <c r="C1" s="1"/>
    </row>
    <row r="2" spans="2:6" ht="18">
      <c r="B2" s="111" t="str">
        <f>"Manitoba Heating Fuels Cost Comparison Summary - "&amp;Introduction!H7</f>
        <v>Manitoba Heating Fuels Cost Comparison Summary - November, 2012</v>
      </c>
      <c r="D2" s="71"/>
      <c r="E2" s="114"/>
      <c r="F2" s="71"/>
    </row>
    <row r="4" spans="4:7" ht="15" customHeight="1">
      <c r="D4" s="70"/>
      <c r="E4" s="115"/>
      <c r="F4" s="126"/>
      <c r="G4" s="126"/>
    </row>
    <row r="5" spans="2:7" ht="16.5" customHeight="1">
      <c r="B5" s="147" t="s">
        <v>30</v>
      </c>
      <c r="C5" s="148"/>
      <c r="D5" s="57" t="s">
        <v>84</v>
      </c>
      <c r="E5" s="117" t="s">
        <v>73</v>
      </c>
      <c r="F5" s="127"/>
      <c r="G5" s="6" t="s">
        <v>3</v>
      </c>
    </row>
    <row r="6" spans="4:7" ht="15" customHeight="1">
      <c r="D6" s="57"/>
      <c r="E6" s="117"/>
      <c r="G6" s="6"/>
    </row>
    <row r="7" spans="2:7" ht="15" customHeight="1">
      <c r="B7" s="129">
        <v>1.01</v>
      </c>
      <c r="C7" s="31" t="str">
        <f>Input!B6&amp;" @ $"&amp;Input!C6&amp;"/"&amp;Input!D6&amp;""</f>
        <v>Electricity @ $0.0738901/kWh</v>
      </c>
      <c r="D7" s="58">
        <f>Details!F15</f>
        <v>21.649604453559917</v>
      </c>
      <c r="E7" s="59">
        <f>Input!C6</f>
        <v>0.0738901</v>
      </c>
      <c r="G7" s="11"/>
    </row>
    <row r="8" spans="2:7" ht="15" customHeight="1">
      <c r="B8" s="129">
        <v>1.02</v>
      </c>
      <c r="C8" s="31" t="str">
        <f>Input!B7&amp;" @ $"&amp;Input!C7&amp;"/"&amp;Input!D7&amp;""</f>
        <v>Natural Gas - High Efficiency @ $0.3555/m3</v>
      </c>
      <c r="D8" s="58">
        <f>Details!F24</f>
        <v>11.765246303031972</v>
      </c>
      <c r="E8" s="59">
        <f>Details!F32</f>
        <v>0.04015478563224811</v>
      </c>
      <c r="G8" s="11"/>
    </row>
    <row r="9" spans="2:7" ht="15" customHeight="1">
      <c r="B9" s="129">
        <v>1.03</v>
      </c>
      <c r="C9" s="31" t="str">
        <f>Input!B8&amp;" @ $"&amp;Input!C8&amp;"/"&amp;Input!D8&amp;""</f>
        <v>Natural Gas - Low Efficiency @ $0.355/m3</v>
      </c>
      <c r="D9" s="58">
        <f>Details!F41</f>
        <v>14.411737243582719</v>
      </c>
      <c r="E9" s="59">
        <f>Details!F49</f>
        <v>0.04918725921234782</v>
      </c>
      <c r="G9" s="11"/>
    </row>
    <row r="10" spans="2:7" ht="15" customHeight="1">
      <c r="B10" s="129">
        <v>1.04</v>
      </c>
      <c r="C10" s="31" t="str">
        <f>Input!B9&amp;" @ $"&amp;Input!C9&amp;"/"&amp;Input!D9&amp;""</f>
        <v>Coal - lignite @ $100/ton</v>
      </c>
      <c r="D10" s="58">
        <f>Details!F61</f>
        <v>12.668490929360495</v>
      </c>
      <c r="E10" s="59">
        <f>Details!F69</f>
        <v>0.04323755954190737</v>
      </c>
      <c r="G10" s="11"/>
    </row>
    <row r="11" spans="2:7" ht="15" customHeight="1">
      <c r="B11" s="129">
        <v>1.05</v>
      </c>
      <c r="C11" s="31" t="str">
        <f>Input!B10&amp;" @ $"&amp;Input!C10&amp;"/"&amp;Input!D10&amp;""</f>
        <v># 2 Diesel Fuel Oil @ $0.98/Litre</v>
      </c>
      <c r="D11" s="58">
        <f>Details!F78</f>
        <v>37.854002519995035</v>
      </c>
      <c r="E11" s="59">
        <f>Details!F86</f>
        <v>0.12919571060074303</v>
      </c>
      <c r="G11" s="11"/>
    </row>
    <row r="12" spans="2:7" ht="15" customHeight="1">
      <c r="B12" s="129">
        <v>1.06</v>
      </c>
      <c r="C12" s="31" t="str">
        <f>Input!B11&amp;" @ $"&amp;Input!C11&amp;"/"&amp;Input!D11&amp;""</f>
        <v>Wheat Straw cubes @ $85.33/ton</v>
      </c>
      <c r="D12" s="58">
        <f>Details!F98</f>
        <v>9.561918887630476</v>
      </c>
      <c r="E12" s="59">
        <f>Details!F106</f>
        <v>0.032634829163482815</v>
      </c>
      <c r="G12" s="11"/>
    </row>
    <row r="13" spans="2:7" ht="15" customHeight="1">
      <c r="B13" s="129">
        <v>1.07</v>
      </c>
      <c r="C13" s="31" t="str">
        <f>Input!B12&amp;" @ $"&amp;Input!C12&amp;"/"&amp;Input!D12&amp;""</f>
        <v>Flax Straw cubes @ $79.66/ton</v>
      </c>
      <c r="D13" s="58">
        <f>Details!F118</f>
        <v>8.202311041807794</v>
      </c>
      <c r="E13" s="59">
        <f>Details!F126</f>
        <v>0.027994487585690002</v>
      </c>
      <c r="G13" s="11"/>
    </row>
    <row r="14" spans="2:7" ht="15" customHeight="1">
      <c r="B14" s="129">
        <v>1.08</v>
      </c>
      <c r="C14" s="31" t="str">
        <f>Input!B13&amp;" @ $"&amp;Input!C13&amp;"/"&amp;Input!D13&amp;""</f>
        <v>Switchgrass Biomass cubes @ $120/ton</v>
      </c>
      <c r="D14" s="58">
        <f>Details!F138</f>
        <v>13.381359030895217</v>
      </c>
      <c r="E14" s="59">
        <f>Details!F146</f>
        <v>0.04567057837244537</v>
      </c>
      <c r="G14" s="11"/>
    </row>
    <row r="15" spans="2:7" ht="15" customHeight="1">
      <c r="B15" s="129">
        <v>1.09</v>
      </c>
      <c r="C15" s="31" t="str">
        <f>Input!B14&amp;" @ $"&amp;Input!C14&amp;"/"&amp;Input!D14&amp;""</f>
        <v>Hemp Biomass cubes @ $120/ton</v>
      </c>
      <c r="D15" s="58">
        <f>Details!F158</f>
        <v>12.654735781771612</v>
      </c>
      <c r="E15" s="59">
        <f>Details!F166</f>
        <v>0.043190613223186514</v>
      </c>
      <c r="G15" s="11"/>
    </row>
    <row r="16" spans="2:7" ht="15" customHeight="1">
      <c r="B16" s="129">
        <v>1.1</v>
      </c>
      <c r="C16" s="31" t="str">
        <f>Input!B15&amp;" @ $"&amp;Input!C15&amp;"/"&amp;Input!D15&amp;""</f>
        <v>Willow Biomass  @ $85/ton</v>
      </c>
      <c r="D16" s="58">
        <f>Details!F178</f>
        <v>10.560895365133636</v>
      </c>
      <c r="E16" s="59">
        <f>Details!F186</f>
        <v>0.0360443358812011</v>
      </c>
      <c r="G16" s="11"/>
    </row>
    <row r="17" spans="2:7" ht="15" customHeight="1">
      <c r="B17" s="129">
        <v>1.11</v>
      </c>
      <c r="C17" s="31" t="str">
        <f>Input!B16&amp;" @ $"&amp;Input!C16&amp;"/"&amp;Input!D16&amp;""</f>
        <v>Sunflower Hulls  @ $100/ton</v>
      </c>
      <c r="D17" s="58">
        <f>Details!F198</f>
        <v>11.409703039658986</v>
      </c>
      <c r="E17" s="59">
        <f>Details!F206</f>
        <v>0.038941316474356114</v>
      </c>
      <c r="G17" s="11"/>
    </row>
    <row r="18" spans="2:7" ht="15" customHeight="1">
      <c r="B18" s="129">
        <v>1.12</v>
      </c>
      <c r="C18" s="31" t="str">
        <f>Input!B17&amp;" @ $"&amp;Input!C17&amp;"/"&amp;Input!D17&amp;""</f>
        <v>Oat Hull Pellets  @ $100/ton</v>
      </c>
      <c r="D18" s="58">
        <f>Details!F218</f>
        <v>10.813766183882468</v>
      </c>
      <c r="E18" s="59">
        <f>Details!F226</f>
        <v>0.03690738398559087</v>
      </c>
      <c r="G18" s="11"/>
    </row>
    <row r="19" spans="2:7" ht="15" customHeight="1">
      <c r="B19" s="129">
        <v>1.13</v>
      </c>
      <c r="C19" s="31" t="str">
        <f>Input!B18&amp;" @ $"&amp;Input!C18&amp;"/"&amp;Input!D18&amp;""</f>
        <v>Wood Pellets #1 @ $175/ton</v>
      </c>
      <c r="D19" s="58">
        <f>Details!F238</f>
        <v>17.280537177841413</v>
      </c>
      <c r="E19" s="59">
        <f>Details!F246</f>
        <v>0.05897847338797275</v>
      </c>
      <c r="G19" s="11"/>
    </row>
    <row r="20" spans="2:7" ht="15" customHeight="1">
      <c r="B20" s="129">
        <v>1.14</v>
      </c>
      <c r="C20" s="31" t="str">
        <f>Input!B19&amp;" @ $"&amp;Input!C19&amp;"/"&amp;Input!D19&amp;""</f>
        <v>Recycled Fuel Pucks @ $150/ton</v>
      </c>
      <c r="D20" s="58">
        <f>Details!F258</f>
        <v>15.182186234817813</v>
      </c>
      <c r="E20" s="59">
        <f>Details!F266</f>
        <v>0.051816801619433195</v>
      </c>
      <c r="G20" s="11"/>
    </row>
    <row r="21" spans="2:7" ht="15" customHeight="1">
      <c r="B21" s="129">
        <v>1.15</v>
      </c>
      <c r="C21" s="31" t="str">
        <f>Input!B20&amp;" @ $"&amp;Input!C20&amp;"/"&amp;Input!D20&amp;""</f>
        <v>Wheat HRS (60lb) @ $6.75/bushel</v>
      </c>
      <c r="D21" s="58">
        <f>Details!F278</f>
        <v>22.99872740375033</v>
      </c>
      <c r="E21" s="59">
        <f>Details!F286</f>
        <v>0.07849465662899988</v>
      </c>
      <c r="G21" s="11"/>
    </row>
    <row r="22" spans="2:7" ht="15" customHeight="1">
      <c r="B22" s="129">
        <v>1.16</v>
      </c>
      <c r="C22" s="31" t="str">
        <f>Input!B21&amp;" @ $"&amp;Input!C21&amp;"/"&amp;Input!D21&amp;""</f>
        <v>Oats (34 lb) @ $3.4/bushel</v>
      </c>
      <c r="D22" s="58">
        <f>Details!F298</f>
        <v>21.33270757391116</v>
      </c>
      <c r="E22" s="59">
        <f>Details!F306</f>
        <v>0.0728085309497588</v>
      </c>
      <c r="G22" s="11"/>
    </row>
    <row r="23" spans="2:7" ht="15" customHeight="1">
      <c r="B23" s="129">
        <v>1.17</v>
      </c>
      <c r="C23" s="31" t="str">
        <f>Input!B22&amp;" @ $"&amp;Input!C22&amp;"/"&amp;Input!D22&amp;""</f>
        <v>Barley (48 lb) @ $4.75/bushel</v>
      </c>
      <c r="D23" s="58">
        <f>Details!F318</f>
        <v>21.218618779594387</v>
      </c>
      <c r="E23" s="59">
        <f>Details!F326</f>
        <v>0.07241914589475565</v>
      </c>
      <c r="G23" s="11"/>
    </row>
    <row r="24" spans="2:7" ht="15" customHeight="1">
      <c r="B24" s="129">
        <v>1.18</v>
      </c>
      <c r="C24" s="31" t="str">
        <f>Input!B23&amp;" @ $"&amp;Input!C23&amp;"/"&amp;Input!D23&amp;""</f>
        <v>Corn (56lb) @ $7.25/bushel</v>
      </c>
      <c r="D24" s="58">
        <f>Details!F338</f>
        <v>27.730709944423836</v>
      </c>
      <c r="E24" s="59">
        <f>Details!F346</f>
        <v>0.09464491304031854</v>
      </c>
      <c r="G24" s="11"/>
    </row>
    <row r="25" spans="2:7" ht="15" customHeight="1">
      <c r="B25" s="129">
        <v>1.19</v>
      </c>
      <c r="C25" s="31" t="str">
        <f>Input!B24&amp;" @ $"&amp;Input!C24&amp;"/"&amp;Input!D24&amp;""</f>
        <v>Sunflower Seeds  @ $0.2/pound</v>
      </c>
      <c r="D25" s="58">
        <f>Details!F358</f>
        <v>27.870680044593087</v>
      </c>
      <c r="E25" s="59">
        <f>Details!F366</f>
        <v>0.09512263099219621</v>
      </c>
      <c r="G25" s="11"/>
    </row>
    <row r="26" spans="2:7" ht="15" customHeight="1">
      <c r="B26" s="129">
        <v>1.2</v>
      </c>
      <c r="C26" s="31" t="str">
        <f>Input!B25&amp;" @ $"&amp;Input!C25&amp;"/"&amp;Input!D25&amp;""</f>
        <v>Firewood (2100lb/124cft.) @ $150/cord</v>
      </c>
      <c r="D26" s="58">
        <f>Details!F378</f>
        <v>25.879917184265015</v>
      </c>
      <c r="E26" s="59">
        <f>Details!F386</f>
        <v>0.08832815734989648</v>
      </c>
      <c r="G26" s="11"/>
    </row>
    <row r="27" spans="3:5" ht="15" customHeight="1">
      <c r="C27" s="31"/>
      <c r="D27" s="58"/>
      <c r="E27" s="59"/>
    </row>
    <row r="28" spans="4:5" ht="15" customHeight="1">
      <c r="D28" s="47"/>
      <c r="E28" s="118"/>
    </row>
    <row r="29" spans="2:5" ht="18" customHeight="1">
      <c r="B29" s="149" t="s">
        <v>97</v>
      </c>
      <c r="D29" s="70" t="s">
        <v>92</v>
      </c>
      <c r="E29" s="70" t="s">
        <v>93</v>
      </c>
    </row>
    <row r="30" spans="2:5" ht="15" customHeight="1">
      <c r="B30" s="46"/>
      <c r="D30" s="70" t="s">
        <v>83</v>
      </c>
      <c r="E30" s="70" t="s">
        <v>51</v>
      </c>
    </row>
    <row r="31" spans="2:7" ht="15" customHeight="1">
      <c r="B31" s="46"/>
      <c r="D31" s="55" t="str">
        <f>"@ $"&amp;FIXED(Input!C9,0)&amp;"/ton"</f>
        <v>@ $100/ton</v>
      </c>
      <c r="E31" s="55" t="str">
        <f>"@ $"&amp;FIXED(Input!C6,5)&amp;"/kWh"</f>
        <v>@ $0.07389/kWh</v>
      </c>
      <c r="G31" s="6" t="s">
        <v>3</v>
      </c>
    </row>
    <row r="32" spans="4:5" ht="15" customHeight="1">
      <c r="D32" s="47"/>
      <c r="E32" s="116"/>
    </row>
    <row r="33" spans="2:7" ht="15" customHeight="1">
      <c r="B33" s="129">
        <f aca="true" t="shared" si="0" ref="B33:B52">SUM(B7+1)</f>
        <v>2.01</v>
      </c>
      <c r="C33" s="31" t="str">
        <f>Input!B6&amp;" - $/"&amp;Input!D6&amp;""</f>
        <v>Electricity - $/kWh</v>
      </c>
      <c r="D33" s="125">
        <f>Details!F391</f>
        <v>0.04323755954190737</v>
      </c>
      <c r="E33" s="123" t="s">
        <v>40</v>
      </c>
      <c r="G33" s="11"/>
    </row>
    <row r="34" spans="2:7" ht="15" customHeight="1">
      <c r="B34" s="129">
        <f t="shared" si="0"/>
        <v>2.02</v>
      </c>
      <c r="C34" s="31" t="str">
        <f>Input!B7&amp;" - $/"&amp;Input!D7&amp;""</f>
        <v>Natural Gas - High Efficiency - $/m3</v>
      </c>
      <c r="D34" s="125">
        <f>Details!F396</f>
        <v>0.3827925407925408</v>
      </c>
      <c r="E34" s="118">
        <f>Details!F400</f>
        <v>0.6541668729244654</v>
      </c>
      <c r="G34" s="11"/>
    </row>
    <row r="35" spans="2:7" ht="15" customHeight="1">
      <c r="B35" s="129">
        <f t="shared" si="0"/>
        <v>2.0300000000000002</v>
      </c>
      <c r="C35" s="31" t="str">
        <f>Input!B8&amp;" - $/"&amp;Input!D8&amp;""</f>
        <v>Natural Gas - Low Efficiency - $/m3</v>
      </c>
      <c r="D35" s="125">
        <f>Details!F405</f>
        <v>0.31205913651565825</v>
      </c>
      <c r="E35" s="118">
        <f>Details!F409</f>
        <v>0.5332882116232054</v>
      </c>
      <c r="G35" s="11"/>
    </row>
    <row r="36" spans="2:7" ht="15" customHeight="1">
      <c r="B36" s="129">
        <f t="shared" si="0"/>
        <v>2.04</v>
      </c>
      <c r="C36" s="31" t="str">
        <f>Input!B9&amp;" - $/"&amp;Input!D9&amp;""</f>
        <v>Coal - lignite - $/ton</v>
      </c>
      <c r="D36" s="123" t="s">
        <v>40</v>
      </c>
      <c r="E36" s="47">
        <f>Details!F413</f>
        <v>170.89331771462057</v>
      </c>
      <c r="G36" s="11"/>
    </row>
    <row r="37" spans="2:7" ht="15" customHeight="1">
      <c r="B37" s="129">
        <f t="shared" si="0"/>
        <v>2.05</v>
      </c>
      <c r="C37" s="31" t="str">
        <f>Input!B10&amp;" - $/"&amp;Input!D10&amp;""</f>
        <v># 2 Diesel Fuel Oil - $/Litre</v>
      </c>
      <c r="D37" s="123">
        <f>Details!F418</f>
        <v>0.327973801560758</v>
      </c>
      <c r="E37" s="47">
        <f>Details!F422</f>
        <v>0.5604853107219454</v>
      </c>
      <c r="G37" s="11"/>
    </row>
    <row r="38" spans="2:7" ht="15" customHeight="1">
      <c r="B38" s="129">
        <f t="shared" si="0"/>
        <v>2.06</v>
      </c>
      <c r="C38" s="31" t="str">
        <f>Input!B11&amp;" - $/"&amp;Input!D11&amp;""</f>
        <v>Wheat Straw cubes - $/ton</v>
      </c>
      <c r="D38" s="130">
        <f>Details!F426</f>
        <v>113.0528656126482</v>
      </c>
      <c r="E38" s="128">
        <f>Details!F430</f>
        <v>193.19979281690595</v>
      </c>
      <c r="G38" s="11"/>
    </row>
    <row r="39" spans="2:7" ht="15" customHeight="1">
      <c r="B39" s="129">
        <f t="shared" si="0"/>
        <v>2.0700000000000003</v>
      </c>
      <c r="C39" s="31" t="str">
        <f>Input!B12&amp;" - $/"&amp;Input!D12&amp;""</f>
        <v>Flax Straw cubes - $/ton</v>
      </c>
      <c r="D39" s="130">
        <f>Details!F434</f>
        <v>123.0350790513834</v>
      </c>
      <c r="E39" s="128">
        <f>Details!F438</f>
        <v>210.2587285437152</v>
      </c>
      <c r="G39" s="11"/>
    </row>
    <row r="40" spans="2:7" ht="15" customHeight="1">
      <c r="B40" s="129">
        <f t="shared" si="0"/>
        <v>2.08</v>
      </c>
      <c r="C40" s="31" t="str">
        <f>Input!B13&amp;" - $/"&amp;Input!D13&amp;""</f>
        <v>Switchgrass Biomass cubes - $/ton</v>
      </c>
      <c r="D40" s="131">
        <f>Details!F442</f>
        <v>113.60721343873517</v>
      </c>
      <c r="E40" s="128">
        <f>Details!F446</f>
        <v>194.14713620858484</v>
      </c>
      <c r="G40" s="11"/>
    </row>
    <row r="41" spans="2:7" ht="15" customHeight="1">
      <c r="B41" s="129">
        <f t="shared" si="0"/>
        <v>2.09</v>
      </c>
      <c r="C41" s="31" t="str">
        <f>Input!B14&amp;" - $/"&amp;Input!D14&amp;""</f>
        <v>Hemp Biomass cubes - $/ton</v>
      </c>
      <c r="D41" s="128">
        <f>Details!F450</f>
        <v>160.31640546482734</v>
      </c>
      <c r="E41" s="128">
        <f>Details!F454</f>
        <v>205.29488558499853</v>
      </c>
      <c r="G41" s="11"/>
    </row>
    <row r="42" spans="2:7" ht="15" customHeight="1">
      <c r="B42" s="129">
        <f t="shared" si="0"/>
        <v>2.1</v>
      </c>
      <c r="C42" s="31" t="str">
        <f>Input!B15&amp;" - $/"&amp;Input!D15&amp;""</f>
        <v>Willow Biomass  - $/ton</v>
      </c>
      <c r="D42" s="128">
        <f>Details!F458</f>
        <v>101.96310935441373</v>
      </c>
      <c r="E42" s="128">
        <f>Details!F462</f>
        <v>174.24814042074425</v>
      </c>
      <c r="G42" s="11"/>
    </row>
    <row r="43" spans="2:7" ht="15" customHeight="1">
      <c r="B43" s="129">
        <f t="shared" si="0"/>
        <v>2.1100000000000003</v>
      </c>
      <c r="C43" s="31" t="str">
        <f>Input!B16&amp;" - $/"&amp;Input!D16&amp;""</f>
        <v>Sunflower Hulls  - $/ton</v>
      </c>
      <c r="D43" s="128">
        <f>Details!F466</f>
        <v>111.03260869565219</v>
      </c>
      <c r="E43" s="128">
        <f>Details!F470</f>
        <v>189.7473087450923</v>
      </c>
      <c r="G43" s="11"/>
    </row>
    <row r="44" spans="2:7" ht="15" customHeight="1">
      <c r="B44" s="129">
        <f t="shared" si="0"/>
        <v>2.12</v>
      </c>
      <c r="C44" s="31" t="str">
        <f>Input!B17&amp;" - $/"&amp;Input!D17&amp;""</f>
        <v>Oat Hull Pellets  - $/ton</v>
      </c>
      <c r="D44" s="128">
        <f>Details!F474</f>
        <v>117.15151515151517</v>
      </c>
      <c r="E44" s="128">
        <f>Details!F478</f>
        <v>200.20411099537068</v>
      </c>
      <c r="G44" s="11"/>
    </row>
    <row r="45" spans="2:7" ht="15" customHeight="1">
      <c r="B45" s="129">
        <f t="shared" si="0"/>
        <v>2.13</v>
      </c>
      <c r="C45" s="31" t="str">
        <f>Input!B18&amp;" - $/"&amp;Input!D18&amp;""</f>
        <v>Wood Pellets #1 - $/ton</v>
      </c>
      <c r="D45" s="128">
        <f>Details!F482</f>
        <v>128.29380764163375</v>
      </c>
      <c r="E45" s="128">
        <f>Details!F486</f>
        <v>219.2455443012013</v>
      </c>
      <c r="G45" s="11"/>
    </row>
    <row r="46" spans="2:7" ht="15" customHeight="1">
      <c r="B46" s="129">
        <f t="shared" si="0"/>
        <v>2.1399999999999997</v>
      </c>
      <c r="C46" s="31" t="str">
        <f>Input!B19&amp;" - $/"&amp;Input!D19&amp;""</f>
        <v>Recycled Fuel Pucks - $/ton</v>
      </c>
      <c r="D46" s="128">
        <f>Details!F490</f>
        <v>125.1646903820817</v>
      </c>
      <c r="E46" s="128">
        <f>Details!F494</f>
        <v>213.89809200117202</v>
      </c>
      <c r="G46" s="11"/>
    </row>
    <row r="47" spans="2:7" ht="15" customHeight="1">
      <c r="B47" s="129">
        <f t="shared" si="0"/>
        <v>2.15</v>
      </c>
      <c r="C47" s="31" t="str">
        <f>Input!B20&amp;" - $/"&amp;Input!D20&amp;""</f>
        <v>Wheat HRS (60lb) - $/bushel</v>
      </c>
      <c r="D47" s="47">
        <f>Details!F498</f>
        <v>3.718132411067193</v>
      </c>
      <c r="E47" s="47">
        <f>Details!F502</f>
        <v>6.354039834295341</v>
      </c>
      <c r="G47" s="11"/>
    </row>
    <row r="48" spans="2:7" ht="15" customHeight="1">
      <c r="B48" s="129">
        <f t="shared" si="0"/>
        <v>2.16</v>
      </c>
      <c r="C48" s="31" t="str">
        <f>Input!B21&amp;" - $/"&amp;Input!D21&amp;""</f>
        <v>Oats (34 lb) - $/bushel</v>
      </c>
      <c r="D48" s="47">
        <f>Details!F506</f>
        <v>2.0190999670619236</v>
      </c>
      <c r="E48" s="47">
        <f>Details!F510</f>
        <v>3.4505069216869324</v>
      </c>
      <c r="G48" s="11"/>
    </row>
    <row r="49" spans="2:7" ht="15" customHeight="1">
      <c r="B49" s="129">
        <f t="shared" si="0"/>
        <v>2.17</v>
      </c>
      <c r="C49" s="31" t="str">
        <f>Input!B22&amp;" - $/"&amp;Input!D22&amp;""</f>
        <v>Barley (48 lb) - $/bushel</v>
      </c>
      <c r="D49" s="47">
        <f>Details!F514</f>
        <v>2.8359683794466406</v>
      </c>
      <c r="E49" s="47">
        <f>Details!F518</f>
        <v>4.846480452973923</v>
      </c>
      <c r="G49" s="11"/>
    </row>
    <row r="50" spans="2:7" ht="15" customHeight="1">
      <c r="B50" s="129">
        <f t="shared" si="0"/>
        <v>2.1799999999999997</v>
      </c>
      <c r="C50" s="31" t="str">
        <f>Input!B23&amp;" - $/"&amp;Input!D23&amp;""</f>
        <v>Corn (56lb) - $/bushel</v>
      </c>
      <c r="D50" s="47">
        <f>Details!F522</f>
        <v>3.3120882740447954</v>
      </c>
      <c r="E50" s="47">
        <f>Details!F526</f>
        <v>5.660137537152066</v>
      </c>
      <c r="G50" s="11"/>
    </row>
    <row r="51" spans="2:7" ht="15" customHeight="1">
      <c r="B51" s="129">
        <f t="shared" si="0"/>
        <v>2.19</v>
      </c>
      <c r="C51" s="31" t="str">
        <f>Input!B24&amp;" - $/"&amp;Input!D24&amp;""</f>
        <v>Sunflower Seeds  - $/pound</v>
      </c>
      <c r="D51" s="132">
        <f>Details!F530</f>
        <v>0.09090909090909091</v>
      </c>
      <c r="E51" s="132">
        <f>Details!F534</f>
        <v>0.15535756155874597</v>
      </c>
      <c r="G51" s="11"/>
    </row>
    <row r="52" spans="2:7" ht="15" customHeight="1">
      <c r="B52" s="129">
        <f t="shared" si="0"/>
        <v>2.2</v>
      </c>
      <c r="C52" s="31" t="str">
        <f>Input!B25&amp;" - $/"&amp;Input!D25&amp;""</f>
        <v>Firewood (2100lb/124cft.) - $/cord</v>
      </c>
      <c r="D52" s="128">
        <f>Details!F538</f>
        <v>73.42657342657341</v>
      </c>
      <c r="E52" s="128">
        <f>Details!F542</f>
        <v>125.4811074128333</v>
      </c>
      <c r="G52" s="11"/>
    </row>
    <row r="53" spans="3:5" ht="15" customHeight="1">
      <c r="C53" s="31"/>
      <c r="D53" s="47"/>
      <c r="E53" s="118"/>
    </row>
    <row r="54" spans="3:5" ht="15" customHeight="1">
      <c r="C54" s="31"/>
      <c r="D54" s="47"/>
      <c r="E54" s="118"/>
    </row>
    <row r="55" spans="2:5" ht="18" customHeight="1">
      <c r="B55" s="145" t="s">
        <v>94</v>
      </c>
      <c r="C55" s="31"/>
      <c r="D55" s="47"/>
      <c r="E55" s="118"/>
    </row>
    <row r="56" spans="2:7" ht="18" customHeight="1" thickBot="1">
      <c r="B56" s="144" t="s">
        <v>95</v>
      </c>
      <c r="C56" s="68"/>
      <c r="D56" s="69"/>
      <c r="E56" s="119"/>
      <c r="F56" s="146"/>
      <c r="G56" s="146"/>
    </row>
    <row r="57" spans="3:5" ht="13.5" thickTop="1">
      <c r="C57" s="42"/>
      <c r="D57" s="38"/>
      <c r="E57" s="120"/>
    </row>
    <row r="58" spans="2:5" ht="12.75" customHeight="1">
      <c r="B58" s="176" t="s">
        <v>8</v>
      </c>
      <c r="C58" s="176"/>
      <c r="D58" s="176"/>
      <c r="E58" s="176"/>
    </row>
    <row r="59" spans="2:5" ht="12.75">
      <c r="B59" s="176"/>
      <c r="C59" s="176"/>
      <c r="D59" s="176"/>
      <c r="E59" s="176"/>
    </row>
    <row r="60" spans="3:5" ht="12.75">
      <c r="C60" s="32"/>
      <c r="D60" s="32"/>
      <c r="E60" s="32"/>
    </row>
    <row r="61" spans="3:5" ht="12.75">
      <c r="C61" s="40"/>
      <c r="D61" s="40"/>
      <c r="E61" s="121"/>
    </row>
  </sheetData>
  <sheetProtection password="C786" sheet="1"/>
  <mergeCells count="1">
    <mergeCell ref="B58:E59"/>
  </mergeCells>
  <printOptions/>
  <pageMargins left="0.75" right="0.75" top="1" bottom="1" header="0.5" footer="0.5"/>
  <pageSetup firstPageNumber="2" useFirstPageNumber="1" fitToHeight="1" fitToWidth="1" horizontalDpi="600" verticalDpi="600" orientation="portrait" scale="74" r:id="rId1"/>
  <headerFooter alignWithMargins="0">
    <oddHeader>&amp;LGuidelines: Manitoba Heating Fuels Cost Comparison&amp;R&amp;P</oddHeader>
    <oddFooter xml:space="preserve">&amp;RMAFRI, &amp;"Arial,Italic"GO Team Branch&amp;"Arial,Regular" </oddFooter>
  </headerFooter>
</worksheet>
</file>

<file path=xl/worksheets/sheet3.xml><?xml version="1.0" encoding="utf-8"?>
<worksheet xmlns="http://schemas.openxmlformats.org/spreadsheetml/2006/main" xmlns:r="http://schemas.openxmlformats.org/officeDocument/2006/relationships">
  <sheetPr codeName="Sheet5">
    <pageSetUpPr fitToPage="1"/>
  </sheetPr>
  <dimension ref="A1:V34"/>
  <sheetViews>
    <sheetView zoomScale="90" zoomScaleNormal="90" zoomScalePageLayoutView="0" workbookViewId="0" topLeftCell="A1">
      <selection activeCell="C28" sqref="C28"/>
    </sheetView>
  </sheetViews>
  <sheetFormatPr defaultColWidth="9.140625" defaultRowHeight="12.75"/>
  <cols>
    <col min="1" max="1" width="32.00390625" style="0" customWidth="1"/>
    <col min="5" max="5" width="9.7109375" style="0" customWidth="1"/>
    <col min="6" max="22" width="6.7109375" style="0" customWidth="1"/>
  </cols>
  <sheetData>
    <row r="1" spans="1:20" ht="18">
      <c r="A1" s="109" t="str">
        <f>"Manitoba Heating Fuels Cost Comparison - Equivalent Fuel Price Based on Electricity Cost per kWh"</f>
        <v>Manitoba Heating Fuels Cost Comparison - Equivalent Fuel Price Based on Electricity Cost per kWh</v>
      </c>
      <c r="B1" s="110"/>
      <c r="C1" s="110"/>
      <c r="D1" s="110"/>
      <c r="E1" s="110"/>
      <c r="F1" s="110"/>
      <c r="G1" s="110"/>
      <c r="R1" s="48" t="s">
        <v>7</v>
      </c>
      <c r="S1" s="108" t="str">
        <f>Introduction!H7</f>
        <v>November, 2012</v>
      </c>
      <c r="T1" s="4"/>
    </row>
    <row r="3" spans="1:22" s="94" customFormat="1" ht="12.75">
      <c r="A3" s="182" t="s">
        <v>43</v>
      </c>
      <c r="B3" s="183" t="s">
        <v>44</v>
      </c>
      <c r="C3" s="183" t="s">
        <v>45</v>
      </c>
      <c r="D3" s="184" t="s">
        <v>46</v>
      </c>
      <c r="E3" s="184" t="s">
        <v>47</v>
      </c>
      <c r="F3" s="185" t="s">
        <v>65</v>
      </c>
      <c r="G3" s="185"/>
      <c r="H3" s="185"/>
      <c r="I3" s="185"/>
      <c r="J3" s="185"/>
      <c r="K3" s="185"/>
      <c r="L3" s="185"/>
      <c r="M3" s="185"/>
      <c r="N3" s="185"/>
      <c r="O3" s="185"/>
      <c r="P3" s="185"/>
      <c r="Q3" s="185"/>
      <c r="R3" s="185"/>
      <c r="S3" s="185"/>
      <c r="T3" s="185"/>
      <c r="U3" s="185"/>
      <c r="V3" s="185"/>
    </row>
    <row r="4" spans="1:22" s="94" customFormat="1" ht="12.75">
      <c r="A4" s="182"/>
      <c r="B4" s="183"/>
      <c r="C4" s="183"/>
      <c r="D4" s="184"/>
      <c r="E4" s="184"/>
      <c r="F4" s="185"/>
      <c r="G4" s="185"/>
      <c r="H4" s="185"/>
      <c r="I4" s="185"/>
      <c r="J4" s="185"/>
      <c r="K4" s="185"/>
      <c r="L4" s="185"/>
      <c r="M4" s="185"/>
      <c r="N4" s="185"/>
      <c r="O4" s="185"/>
      <c r="P4" s="185"/>
      <c r="Q4" s="185"/>
      <c r="R4" s="185"/>
      <c r="S4" s="185"/>
      <c r="T4" s="185"/>
      <c r="U4" s="185"/>
      <c r="V4" s="185"/>
    </row>
    <row r="5" spans="1:22" ht="19.5" customHeight="1">
      <c r="A5" s="150" t="str">
        <f>Input!B6&amp;" (cents/"&amp;Input!D6&amp;")"</f>
        <v>Electricity (cents/kWh)</v>
      </c>
      <c r="B5" s="153">
        <f>Input!E6</f>
        <v>3413</v>
      </c>
      <c r="C5" s="160" t="s">
        <v>15</v>
      </c>
      <c r="D5" s="154" t="str">
        <f>Input!G6</f>
        <v>n/a</v>
      </c>
      <c r="E5" s="154">
        <f>Input!H6</f>
        <v>1</v>
      </c>
      <c r="F5" s="161">
        <f>ROUND((Input!C6*100)-5,0)</f>
        <v>2</v>
      </c>
      <c r="G5" s="161">
        <f>SUM(F5+0.5)</f>
        <v>2.5</v>
      </c>
      <c r="H5" s="161">
        <f aca="true" t="shared" si="0" ref="H5:V5">SUM(G5+0.5)</f>
        <v>3</v>
      </c>
      <c r="I5" s="161">
        <f t="shared" si="0"/>
        <v>3.5</v>
      </c>
      <c r="J5" s="161">
        <f t="shared" si="0"/>
        <v>4</v>
      </c>
      <c r="K5" s="161">
        <f t="shared" si="0"/>
        <v>4.5</v>
      </c>
      <c r="L5" s="161">
        <f t="shared" si="0"/>
        <v>5</v>
      </c>
      <c r="M5" s="161">
        <f t="shared" si="0"/>
        <v>5.5</v>
      </c>
      <c r="N5" s="161">
        <f t="shared" si="0"/>
        <v>6</v>
      </c>
      <c r="O5" s="161">
        <f t="shared" si="0"/>
        <v>6.5</v>
      </c>
      <c r="P5" s="161">
        <f t="shared" si="0"/>
        <v>7</v>
      </c>
      <c r="Q5" s="161">
        <f t="shared" si="0"/>
        <v>7.5</v>
      </c>
      <c r="R5" s="161">
        <f t="shared" si="0"/>
        <v>8</v>
      </c>
      <c r="S5" s="161">
        <f t="shared" si="0"/>
        <v>8.5</v>
      </c>
      <c r="T5" s="161">
        <f t="shared" si="0"/>
        <v>9</v>
      </c>
      <c r="U5" s="161">
        <f t="shared" si="0"/>
        <v>9.5</v>
      </c>
      <c r="V5" s="161">
        <f t="shared" si="0"/>
        <v>10</v>
      </c>
    </row>
    <row r="6" spans="1:22" s="94" customFormat="1" ht="19.5" customHeight="1">
      <c r="A6" s="162" t="str">
        <f>Input!B7</f>
        <v>Natural Gas - High Efficiency</v>
      </c>
      <c r="B6" s="155">
        <f>Input!E7</f>
        <v>32843.6</v>
      </c>
      <c r="C6" s="72" t="s">
        <v>41</v>
      </c>
      <c r="D6" s="157" t="str">
        <f>Input!G7</f>
        <v>n/a</v>
      </c>
      <c r="E6" s="157">
        <f>Input!H7</f>
        <v>0.92</v>
      </c>
      <c r="F6" s="95">
        <f>SUM((E6*B6)/(B5*E5))*(F5/100)</f>
        <v>0.17706482273659538</v>
      </c>
      <c r="G6" s="95">
        <f>SUM((E6*B6)/(B5*E5))*(G5/100)</f>
        <v>0.22133102842074426</v>
      </c>
      <c r="H6" s="95">
        <f>SUM((E6*B6)/(B5*E5))*(H5/100)</f>
        <v>0.26559723410489305</v>
      </c>
      <c r="I6" s="95">
        <f>SUM((E6*B6)/(B5*E5))*(I5/100)</f>
        <v>0.30986343978904196</v>
      </c>
      <c r="J6" s="95">
        <f>SUM((E6*B6)/(B5*E5))*(J5/100)</f>
        <v>0.35412964547319076</v>
      </c>
      <c r="K6" s="95">
        <f>SUM((E6*B6)/(B5*E5))*(K5/100)</f>
        <v>0.3983958511573396</v>
      </c>
      <c r="L6" s="96">
        <f>SUM((E6*B6)/(B5*E5))*(L5/100)</f>
        <v>0.4426620568414885</v>
      </c>
      <c r="M6" s="95">
        <f>SUM((E6*B6)/(B5*E5))*(M5/100)</f>
        <v>0.4869282625256373</v>
      </c>
      <c r="N6" s="95">
        <f>SUM((E6*B6)/(B5*E5))*(N5/100)</f>
        <v>0.5311944682097861</v>
      </c>
      <c r="O6" s="96">
        <f>SUM((E6*B6)/(B5*E5))*(O5/100)</f>
        <v>0.5754606738939351</v>
      </c>
      <c r="P6" s="97">
        <f>SUM((E6*B6)/(B5*E5))*(P5/100)</f>
        <v>0.6197268795780839</v>
      </c>
      <c r="Q6" s="95">
        <f>SUM((E6*B6)/(B5*E5))*(Q5/100)</f>
        <v>0.6639930852622327</v>
      </c>
      <c r="R6" s="95">
        <f>SUM((E6*B6)/(B5*E5))*(R5/100)</f>
        <v>0.7082592909463815</v>
      </c>
      <c r="S6" s="95">
        <f>SUM((E6*B6)/(B5*E5))*(S5/100)</f>
        <v>0.7525254966305305</v>
      </c>
      <c r="T6" s="95">
        <f>SUM((E6*B6)/(B5*E5))*(T5/100)</f>
        <v>0.7967917023146792</v>
      </c>
      <c r="U6" s="95">
        <f>SUM((E6*B6)/(B5*E5))*(U5/100)</f>
        <v>0.8410579079988281</v>
      </c>
      <c r="V6" s="95">
        <f>SUM((E6*B6)/(B5*E5))*(V5/100)</f>
        <v>0.885324113682977</v>
      </c>
    </row>
    <row r="7" spans="1:22" s="94" customFormat="1" ht="19.5" customHeight="1">
      <c r="A7" s="162" t="str">
        <f>Input!B8</f>
        <v>Natural Gas - Low Efficiency</v>
      </c>
      <c r="B7" s="155">
        <f>Input!E8</f>
        <v>32843.6</v>
      </c>
      <c r="C7" s="72" t="s">
        <v>41</v>
      </c>
      <c r="D7" s="157" t="str">
        <f>Input!G8</f>
        <v>n/a</v>
      </c>
      <c r="E7" s="157">
        <f>Input!H8</f>
        <v>0.75</v>
      </c>
      <c r="F7" s="95">
        <f>SUM((E7*B7)/(B5*E5))*(F5/100)</f>
        <v>0.14434632288309404</v>
      </c>
      <c r="G7" s="95">
        <f>SUM((E7*B7)/(B5*E5))*(G5/100)</f>
        <v>0.18043290360386754</v>
      </c>
      <c r="H7" s="95">
        <f>SUM((E7*B7)/(B5*E5))*(H5/100)</f>
        <v>0.21651948432464105</v>
      </c>
      <c r="I7" s="95">
        <f>SUM((E7*B7)/(B5*E5))*(I5/100)</f>
        <v>0.2526060650454146</v>
      </c>
      <c r="J7" s="95">
        <f>SUM((E7*B7)/(B5*E5))*(J5/100)</f>
        <v>0.2886926457661881</v>
      </c>
      <c r="K7" s="95">
        <f>SUM((E7*B7)/(B5*E5))*(K5/100)</f>
        <v>0.32477922648696156</v>
      </c>
      <c r="L7" s="95">
        <f>SUM((E7*B7)/(B5*E5))*(L5/100)</f>
        <v>0.3608658072077351</v>
      </c>
      <c r="M7" s="95">
        <f>SUM((E7*B7)/(B5*E5))*(M5/100)</f>
        <v>0.3969523879285086</v>
      </c>
      <c r="N7" s="96">
        <f>SUM((E7*B7)/(B5*E5))*(N5/100)</f>
        <v>0.4330389686492821</v>
      </c>
      <c r="O7" s="96">
        <f>SUM((E7*B7)/(B5*E5))*(O5/100)</f>
        <v>0.46912554937005563</v>
      </c>
      <c r="P7" s="97">
        <f>SUM((E7*B7)/(B5*E5))*(P5/100)</f>
        <v>0.5052121300908292</v>
      </c>
      <c r="Q7" s="95">
        <f>SUM((E7*B7)/(B5*E5))*(Q5/100)</f>
        <v>0.5412987108116026</v>
      </c>
      <c r="R7" s="95">
        <f>SUM((E7*B7)/(B5*E5))*(R5/100)</f>
        <v>0.5773852915323762</v>
      </c>
      <c r="S7" s="95">
        <f>SUM((E7*B7)/(B5*E5))*(S5/100)</f>
        <v>0.6134718722531497</v>
      </c>
      <c r="T7" s="95">
        <f>SUM((E7*B7)/(B5*E5))*(T5/100)</f>
        <v>0.6495584529739231</v>
      </c>
      <c r="U7" s="95">
        <f>SUM((E7*B7)/(B5*E5))*(U5/100)</f>
        <v>0.6856450336946966</v>
      </c>
      <c r="V7" s="95">
        <f>SUM((E7*B7)/(B5*E5))*(V5/100)</f>
        <v>0.7217316144154702</v>
      </c>
    </row>
    <row r="8" spans="1:22" s="94" customFormat="1" ht="19.5" customHeight="1">
      <c r="A8" s="162" t="str">
        <f>Input!B9&amp;" ($/"&amp;Input!D9&amp;")"</f>
        <v>Coal - lignite ($/ton)</v>
      </c>
      <c r="B8" s="155">
        <f>Input!E9</f>
        <v>6900</v>
      </c>
      <c r="C8" s="72" t="s">
        <v>32</v>
      </c>
      <c r="D8" s="157">
        <f>Input!G9</f>
        <v>0.12</v>
      </c>
      <c r="E8" s="157">
        <f>Input!H9</f>
        <v>0.65</v>
      </c>
      <c r="F8" s="98">
        <f>SUM(((E8*(B8*(1-D8)))/(B5*E5))*(F5/100))*2000</f>
        <v>46.25607969528274</v>
      </c>
      <c r="G8" s="99">
        <f>SUM(((E8*(B8*(1-D8)))/(B5*E5))*(G5/100))*2000</f>
        <v>57.82009961910343</v>
      </c>
      <c r="H8" s="98">
        <f>SUM(((E8*(B8*(1-D8)))/(B5*E5))*(H5/100))*2000</f>
        <v>69.3841195429241</v>
      </c>
      <c r="I8" s="98">
        <f>SUM(((E8*(B8*(1-D8)))/(B5*E5))*(I5/100))*2000</f>
        <v>80.9481394667448</v>
      </c>
      <c r="J8" s="98">
        <f>SUM(((E8*(B8*(1-D8)))/(B5*E5))*(J5/100))*2000</f>
        <v>92.51215939056549</v>
      </c>
      <c r="K8" s="98">
        <f>SUM(((E8*(B8*(1-D8)))/(B5*E5))*(K5/100))*2000</f>
        <v>104.07617931438617</v>
      </c>
      <c r="L8" s="98">
        <f>SUM(((E8*(B8*(1-D8)))/(B5*E5))*(L5/100))*2000</f>
        <v>115.64019923820686</v>
      </c>
      <c r="M8" s="98">
        <f>SUM(((E8*(B8*(1-D8)))/(B5*E5))*(M5/100))*2000</f>
        <v>127.20421916202754</v>
      </c>
      <c r="N8" s="98">
        <f>SUM(((E8*(B8*(1-D8)))/(B5*E5))*(N5/100))*2000</f>
        <v>138.7682390858482</v>
      </c>
      <c r="O8" s="99">
        <f>SUM(((E8*(B8*(1-D8)))/(B5*E5))*(O5/100))*2000</f>
        <v>150.33225900966892</v>
      </c>
      <c r="P8" s="100">
        <f>SUM(((E8*(B8*(1-D8)))/(B5*E5))*(P5/100))*2000</f>
        <v>161.8962789334896</v>
      </c>
      <c r="Q8" s="98">
        <f>SUM(((E8*(B8*(1-D8)))/(B5*E5))*(Q5/100))*2000</f>
        <v>173.46029885731025</v>
      </c>
      <c r="R8" s="98">
        <f>SUM(((E8*(B8*(1-D8)))/(B5*E5))*(R5/100))*2000</f>
        <v>185.02431878113097</v>
      </c>
      <c r="S8" s="98">
        <f>SUM(((E8*(B8*(1-D8)))/(B5*E5))*(S5/100))*2000</f>
        <v>196.58833870495167</v>
      </c>
      <c r="T8" s="98">
        <f>SUM(((E8*(B8*(1-D8)))/(B5*E5))*(T5/100))*2000</f>
        <v>208.15235862877233</v>
      </c>
      <c r="U8" s="98">
        <f>SUM(((E8*(B8*(1-D8)))/(B5*E5))*(U5/100))*2000</f>
        <v>219.71637855259303</v>
      </c>
      <c r="V8" s="98">
        <f>SUM(((E8*(B8*(1-D8)))/(B5*E5))*(V5/100))*2000</f>
        <v>231.28039847641372</v>
      </c>
    </row>
    <row r="9" spans="1:22" s="94" customFormat="1" ht="19.5" customHeight="1">
      <c r="A9" s="162" t="str">
        <f>Input!B10&amp;" ($/"&amp;Input!D10&amp;")"</f>
        <v># 2 Diesel Fuel Oil ($/Litre)</v>
      </c>
      <c r="B9" s="155">
        <f>Input!E10</f>
        <v>36984.2</v>
      </c>
      <c r="C9" s="72" t="s">
        <v>42</v>
      </c>
      <c r="D9" s="157" t="str">
        <f>Input!G10</f>
        <v>n/a</v>
      </c>
      <c r="E9" s="157">
        <f>Input!H10</f>
        <v>0.7</v>
      </c>
      <c r="F9" s="95">
        <f>SUM((E9*B9)/(B5*E5))*(F5/100)</f>
        <v>0.1517078230295927</v>
      </c>
      <c r="G9" s="95">
        <f>SUM((E9*B9)/(B5*E5))*(G5/100)</f>
        <v>0.1896347787869909</v>
      </c>
      <c r="H9" s="95">
        <f>SUM((E9*B9)/(B5*E5))*(H5/100)</f>
        <v>0.22756173454438905</v>
      </c>
      <c r="I9" s="95">
        <f>SUM((E9*B9)/(B5*E5))*(I5/100)</f>
        <v>0.2654886903017873</v>
      </c>
      <c r="J9" s="95">
        <f>SUM((E9*B9)/(B5*E5))*(J5/100)</f>
        <v>0.3034156460591854</v>
      </c>
      <c r="K9" s="95">
        <f>SUM((E9*B9)/(B5*E5))*(K5/100)</f>
        <v>0.3413426018165836</v>
      </c>
      <c r="L9" s="95">
        <f>SUM((E9*B9)/(B5*E5))*(L5/100)</f>
        <v>0.3792695575739818</v>
      </c>
      <c r="M9" s="95">
        <f>SUM((E9*B9)/(B5*E5))*(M5/100)</f>
        <v>0.41719651333137997</v>
      </c>
      <c r="N9" s="95">
        <f>SUM((E9*B9)/(B5*E5))*(N5/100)</f>
        <v>0.4551234690887781</v>
      </c>
      <c r="O9" s="96">
        <f>SUM((E9*B9)/(B5*E5))*(O5/100)</f>
        <v>0.49305042484617634</v>
      </c>
      <c r="P9" s="97">
        <f>SUM((E9*B9)/(B5*E5))*(P5/100)</f>
        <v>0.5309773806035746</v>
      </c>
      <c r="Q9" s="95">
        <f>SUM((E9*B9)/(B5*E5))*(Q5/100)</f>
        <v>0.5689043363609726</v>
      </c>
      <c r="R9" s="95">
        <f>SUM((E9*B9)/(B5*E5))*(R5/100)</f>
        <v>0.6068312921183708</v>
      </c>
      <c r="S9" s="95">
        <f>SUM((E9*B9)/(B5*E5))*(S5/100)</f>
        <v>0.6447582478757691</v>
      </c>
      <c r="T9" s="95">
        <f>SUM((E9*B9)/(B5*E5))*(T5/100)</f>
        <v>0.6826852036331672</v>
      </c>
      <c r="U9" s="95">
        <f>SUM((E9*B9)/(B5*E5))*(U5/100)</f>
        <v>0.7206121593905653</v>
      </c>
      <c r="V9" s="95">
        <f>SUM((E9*B9)/(B5*E5))*(V5/100)</f>
        <v>0.7585391151479636</v>
      </c>
    </row>
    <row r="10" spans="1:22" s="94" customFormat="1" ht="19.5" customHeight="1">
      <c r="A10" s="162" t="str">
        <f>Input!B11&amp;" ($/"&amp;Input!D11&amp;")"</f>
        <v>Wheat Straw cubes ($/ton)</v>
      </c>
      <c r="B10" s="155">
        <f>Input!E11</f>
        <v>7713</v>
      </c>
      <c r="C10" s="72" t="s">
        <v>32</v>
      </c>
      <c r="D10" s="157">
        <f>Input!G11</f>
        <v>0.11</v>
      </c>
      <c r="E10" s="157">
        <f>Input!H11</f>
        <v>0.65</v>
      </c>
      <c r="F10" s="98">
        <f>SUM(((E10*(B10*(1-D10)))/(B5*E5))*(F5/100))*2000</f>
        <v>52.29382361558746</v>
      </c>
      <c r="G10" s="98">
        <f>SUM(((E10*(B10*(1-D10)))/(B5*E5))*(G5/100))*2000</f>
        <v>65.36727951948433</v>
      </c>
      <c r="H10" s="98">
        <f>SUM(((E10*(B10*(1-D10)))/(B5*E5))*(H5/100))*2000</f>
        <v>78.4407354233812</v>
      </c>
      <c r="I10" s="98">
        <f>SUM(((E10*(B10*(1-D10)))/(B5*E5))*(I5/100))*2000</f>
        <v>91.51419132727807</v>
      </c>
      <c r="J10" s="98">
        <f>SUM(((E10*(B10*(1-D10)))/(B5*E5))*(J5/100))*2000</f>
        <v>104.58764723117493</v>
      </c>
      <c r="K10" s="98">
        <f>SUM(((E10*(B10*(1-D10)))/(B5*E5))*(K5/100))*2000</f>
        <v>117.66110313507178</v>
      </c>
      <c r="L10" s="98">
        <f>SUM(((E10*(B10*(1-D10)))/(B5*E5))*(L5/100))*2000</f>
        <v>130.73455903896865</v>
      </c>
      <c r="M10" s="98">
        <f>SUM(((E10*(B10*(1-D10)))/(B5*E5))*(M5/100))*2000</f>
        <v>143.80801494286555</v>
      </c>
      <c r="N10" s="98">
        <f>SUM(((E10*(B10*(1-D10)))/(B5*E5))*(N5/100))*2000</f>
        <v>156.8814708467624</v>
      </c>
      <c r="O10" s="99">
        <f>SUM(((E10*(B10*(1-D10)))/(B5*E5))*(O5/100))*2000</f>
        <v>169.95492675065927</v>
      </c>
      <c r="P10" s="100">
        <f>SUM(((E10*(B10*(1-D10)))/(B5*E5))*(P5/100))*2000</f>
        <v>183.02838265455614</v>
      </c>
      <c r="Q10" s="98">
        <f>SUM(((E10*(B10*(1-D10)))/(B5*E5))*(Q5/100))*2000</f>
        <v>196.101838558453</v>
      </c>
      <c r="R10" s="98">
        <f>SUM(((E10*(B10*(1-D10)))/(B5*E5))*(R5/100))*2000</f>
        <v>209.17529446234985</v>
      </c>
      <c r="S10" s="98">
        <f>SUM(((E10*(B10*(1-D10)))/(B5*E5))*(S5/100))*2000</f>
        <v>222.24875036624675</v>
      </c>
      <c r="T10" s="98">
        <f>SUM(((E10*(B10*(1-D10)))/(B5*E5))*(T5/100))*2000</f>
        <v>235.32220627014357</v>
      </c>
      <c r="U10" s="98">
        <f>SUM(((E10*(B10*(1-D10)))/(B5*E5))*(U5/100))*2000</f>
        <v>248.39566217404047</v>
      </c>
      <c r="V10" s="98">
        <f>SUM(((E10*(B10*(1-D10)))/(B5*E5))*(V5/100))*2000</f>
        <v>261.4691180779373</v>
      </c>
    </row>
    <row r="11" spans="1:22" s="94" customFormat="1" ht="19.5" customHeight="1">
      <c r="A11" s="162" t="str">
        <f>Input!B12&amp;" ($/"&amp;Input!D12&amp;")"</f>
        <v>Flax Straw cubes ($/ton)</v>
      </c>
      <c r="B11" s="155">
        <f>Input!E12</f>
        <v>8587</v>
      </c>
      <c r="C11" s="72" t="s">
        <v>32</v>
      </c>
      <c r="D11" s="157">
        <f>Input!G12</f>
        <v>0.13</v>
      </c>
      <c r="E11" s="157">
        <f>Input!H12</f>
        <v>0.65</v>
      </c>
      <c r="F11" s="98">
        <f>SUM(((E11*(B11*(1-D11)))/(B5*E5))*(F5/100))*2000</f>
        <v>56.91120421916202</v>
      </c>
      <c r="G11" s="98">
        <f>SUM(((E11*(B11*(1-D11)))/(B5*E5))*(G5/100))*2000</f>
        <v>71.13900527395253</v>
      </c>
      <c r="H11" s="98">
        <f>SUM(((E11*(B11*(1-D11)))/(B5*E5))*(H5/100))*2000</f>
        <v>85.36680632874302</v>
      </c>
      <c r="I11" s="98">
        <f>SUM(((E11*(B11*(1-D11)))/(B5*E5))*(I5/100))*2000</f>
        <v>99.59460738353356</v>
      </c>
      <c r="J11" s="98">
        <f>SUM(((E11*(B11*(1-D11)))/(B5*E5))*(J5/100))*2000</f>
        <v>113.82240843832405</v>
      </c>
      <c r="K11" s="98">
        <f>SUM(((E11*(B11*(1-D11)))/(B5*E5))*(J5/100))*2000</f>
        <v>113.82240843832405</v>
      </c>
      <c r="L11" s="98">
        <f>SUM(((E11*(B11*(1-D11)))/(B5*E5))*(L5/100))*2000</f>
        <v>142.27801054790507</v>
      </c>
      <c r="M11" s="98">
        <f>SUM(((E11*(B11*(1-D11)))/(B5*E5))*(M5/100))*2000</f>
        <v>156.50581160269556</v>
      </c>
      <c r="N11" s="98">
        <f>SUM(((E11*(B11*(1-D11)))/(B5*E5))*(N5/100))*2000</f>
        <v>170.73361265748605</v>
      </c>
      <c r="O11" s="99">
        <f>SUM(((E11*(B11*(1-D11)))/(B5*E5))*(O5/100))*2000</f>
        <v>184.9614137122766</v>
      </c>
      <c r="P11" s="100">
        <f>SUM(((E11*(B11*(1-D11)))/(B5*E5))*(P5/100))*2000</f>
        <v>199.1892147670671</v>
      </c>
      <c r="Q11" s="98">
        <f>SUM(((E11*(B11*(1-D11)))/(B5*E5))*(Q5/100))*2000</f>
        <v>213.41701582185758</v>
      </c>
      <c r="R11" s="98">
        <f>SUM(((E11*(B11*(1-D11)))/(B5*E5))*(R5/100))*2000</f>
        <v>227.6448168766481</v>
      </c>
      <c r="S11" s="98">
        <f>SUM(((E11*(B11*(1-D11)))/(B5*E5))*(S5/100))*2000</f>
        <v>241.8726179314386</v>
      </c>
      <c r="T11" s="98">
        <f>SUM(((E11*(B11*(1-D11)))/(B5*E5))*(T5/100))*2000</f>
        <v>256.1004189862291</v>
      </c>
      <c r="U11" s="98">
        <f>SUM(((E11*(B11*(1-D11)))/(B5*E5))*(U5/100))*2000</f>
        <v>270.32822004101956</v>
      </c>
      <c r="V11" s="98">
        <f>SUM(((E11*(B11*(1-D11)))/(B5*E5))*(V5/100))*2000</f>
        <v>284.55602109581014</v>
      </c>
    </row>
    <row r="12" spans="1:22" s="94" customFormat="1" ht="19.5" customHeight="1">
      <c r="A12" s="162" t="str">
        <f>Input!B13&amp;" ($/"&amp;Input!D13&amp;")"</f>
        <v>Switchgrass Biomass cubes ($/ton)</v>
      </c>
      <c r="B12" s="155">
        <f>Input!E13</f>
        <v>7929</v>
      </c>
      <c r="C12" s="72" t="s">
        <v>32</v>
      </c>
      <c r="D12" s="157">
        <f>Input!G13</f>
        <v>0.13</v>
      </c>
      <c r="E12" s="157">
        <f>Input!H13</f>
        <v>0.65</v>
      </c>
      <c r="F12" s="98">
        <f>SUM(((E12*(B12*(1-D12)))/(B5*E5))*(F5/100))*2000</f>
        <v>52.55024318781131</v>
      </c>
      <c r="G12" s="98">
        <f>SUM(((E12*(B12*(1-D12)))/(B5*E5))*(G5/100))*2000</f>
        <v>65.68780398476413</v>
      </c>
      <c r="H12" s="98">
        <f>SUM(((E12*(B12*(1-D12)))/(B5*E5))*(H5/100))*2000</f>
        <v>78.82536478171697</v>
      </c>
      <c r="I12" s="98">
        <f>SUM(((E12*(B12*(1-D12)))/(B5*E5))*(I5/100))*2000</f>
        <v>91.96292557866981</v>
      </c>
      <c r="J12" s="98">
        <f>SUM(((E12*(B12*(1-D12)))/(B5*E5))*(J5/100))*2000</f>
        <v>105.10048637562262</v>
      </c>
      <c r="K12" s="98">
        <f>SUM(((E12*(B12*(1-D12)))/(B5*E5))*(K5/100))*2000</f>
        <v>118.23804717257543</v>
      </c>
      <c r="L12" s="98">
        <f>SUM(((E12*(B12*(1-D12)))/(B5*E5))*(L5/100))*2000</f>
        <v>131.37560796952826</v>
      </c>
      <c r="M12" s="98">
        <f>SUM(((E12*(B12*(1-D12)))/(B5*E5))*(M5/100))*2000</f>
        <v>144.5131687664811</v>
      </c>
      <c r="N12" s="98">
        <f>SUM(((E12*(B12*(1-D12)))/(B5*E5))*(N5/100))*2000</f>
        <v>157.65072956343394</v>
      </c>
      <c r="O12" s="99">
        <f>SUM(((E12*(B12*(1-D12)))/(B5*E5))*(O5/100))*2000</f>
        <v>170.78829036038675</v>
      </c>
      <c r="P12" s="100">
        <f>SUM(((E12*(B12*(1-D12)))/(B5*E5))*(P5/100))*2000</f>
        <v>183.92585115733962</v>
      </c>
      <c r="Q12" s="98">
        <f>SUM(((E12*(B12*(1-D12)))/(B5*E5))*(Q5/100))*2000</f>
        <v>197.0634119542924</v>
      </c>
      <c r="R12" s="98">
        <f>SUM(((E12*(B12*(1-D12)))/(B5*E5))*(R5/100))*2000</f>
        <v>210.20097275124525</v>
      </c>
      <c r="S12" s="98">
        <f>SUM(((E12*(B12*(1-D12)))/(B5*E5))*(S5/100))*2000</f>
        <v>223.3385335481981</v>
      </c>
      <c r="T12" s="98">
        <f>SUM(((E12*(B12*(1-D12)))/(B5*E5))*(T5/100))*2000</f>
        <v>236.47609434515087</v>
      </c>
      <c r="U12" s="98">
        <f>SUM(((E12*(B12*(1-D12)))/(B5*E5))*(U5/100))*2000</f>
        <v>249.61365514210374</v>
      </c>
      <c r="V12" s="98">
        <f>SUM(((E12*(B12*(1-D12)))/(B5*E5))*(V5/100))*2000</f>
        <v>262.7512159390565</v>
      </c>
    </row>
    <row r="13" spans="1:22" s="94" customFormat="1" ht="19.5" customHeight="1">
      <c r="A13" s="162" t="str">
        <f>Input!B14&amp;" ($/"&amp;Input!D14&amp;")"</f>
        <v>Hemp Biomass cubes ($/ton)</v>
      </c>
      <c r="B13" s="155">
        <f>Input!E14</f>
        <v>8289</v>
      </c>
      <c r="C13" s="72" t="s">
        <v>32</v>
      </c>
      <c r="D13" s="157">
        <f>Input!G14</f>
        <v>0.12</v>
      </c>
      <c r="E13" s="157">
        <f>Input!H14</f>
        <v>0.65</v>
      </c>
      <c r="F13" s="98">
        <f>SUM(((E13*(B13*(1-D13)))/(B5*E5))*(F5/100))*2000</f>
        <v>55.56762965133314</v>
      </c>
      <c r="G13" s="98">
        <f>SUM(((E13*(B13*(1-D13)))/(B5*E5))*(G5/100))*2000</f>
        <v>69.45953706416643</v>
      </c>
      <c r="H13" s="98">
        <f>SUM(((E13*(B13*(1-D13)))/(B5*E5))*(H5/100))*2000</f>
        <v>83.3514444769997</v>
      </c>
      <c r="I13" s="98">
        <f>SUM(((E13*(B13*(1-D13)))/(B5*E5))*(I5/100))*2000</f>
        <v>97.24335188983301</v>
      </c>
      <c r="J13" s="98">
        <f>SUM(((E13*(B13*(1-D13)))/(B5*E5))*(J5/100))*2000</f>
        <v>111.13525930266628</v>
      </c>
      <c r="K13" s="98">
        <f>SUM(((E13*(B13*(1-D13)))/(B5*E5))*(K5/100))*2000</f>
        <v>125.02716671549955</v>
      </c>
      <c r="L13" s="98">
        <f>SUM(((E13*(B13*(1-D13)))/(B5*E5))*(L5/100))*2000</f>
        <v>138.91907412833285</v>
      </c>
      <c r="M13" s="98">
        <f>SUM(((E13*(B13*(1-D13)))/(B5*E5))*(M5/100))*2000</f>
        <v>152.81098154116611</v>
      </c>
      <c r="N13" s="98">
        <f>SUM(((E13*(B13*(1-D13)))/(B5*E5))*(N5/100))*2000</f>
        <v>166.7028889539994</v>
      </c>
      <c r="O13" s="99">
        <f>SUM(((E13*(B13*(1-D13)))/(B5*E5))*(O5/100))*2000</f>
        <v>180.5947963668327</v>
      </c>
      <c r="P13" s="100">
        <f>SUM(((E13*(B13*(1-D13)))/(B5*E5))*(P5/100))*2000</f>
        <v>194.48670377966602</v>
      </c>
      <c r="Q13" s="98">
        <f>SUM(((E13*(B13*(1-D13)))/(B5*E5))*(Q5/100))*2000</f>
        <v>208.37861119249925</v>
      </c>
      <c r="R13" s="98">
        <f>SUM(((E13*(B13*(1-D13)))/(B5*E5))*(R5/100))*2000</f>
        <v>222.27051860533257</v>
      </c>
      <c r="S13" s="98">
        <f>SUM(((E13*(B13*(1-D13)))/(B5*E5))*(S5/100))*2000</f>
        <v>236.16242601816583</v>
      </c>
      <c r="T13" s="98">
        <f>SUM(((E13*(B13*(1-D13)))/(B5*E5))*(T5/100))*2000</f>
        <v>250.0543334309991</v>
      </c>
      <c r="U13" s="98">
        <f>SUM(((E13*(B13*(1-D13)))/(B5*E5))*(U5/100))*2000</f>
        <v>263.9462408438324</v>
      </c>
      <c r="V13" s="98">
        <f>SUM(((E13*(B13*(1-D13)))/(B5*E5))*(V5/100))*2000</f>
        <v>277.8381482566657</v>
      </c>
    </row>
    <row r="14" spans="1:22" s="94" customFormat="1" ht="19.5" customHeight="1">
      <c r="A14" s="162" t="str">
        <f>Input!B15&amp;" ($/"&amp;Input!D15&amp;")"</f>
        <v>Willow Biomass  ($/ton)</v>
      </c>
      <c r="B14" s="155">
        <f>Input!E15</f>
        <v>7739</v>
      </c>
      <c r="C14" s="72" t="s">
        <v>32</v>
      </c>
      <c r="D14" s="157">
        <f>Input!G15</f>
        <v>0.2</v>
      </c>
      <c r="E14" s="157">
        <f>Input!H15</f>
        <v>0.65</v>
      </c>
      <c r="F14" s="98">
        <f>SUM(((E14*(B14*(1-D14)))/(B5*E5))*(F5/100))*2000</f>
        <v>47.1641371227659</v>
      </c>
      <c r="G14" s="98">
        <f>SUM(((E14*(B14*(1-D14)))/(B5*E5))*(G5/100))*2000</f>
        <v>58.95517140345738</v>
      </c>
      <c r="H14" s="98">
        <f>SUM(((E14*(B14*(1-D14)))/(B5*E5))*(H5/100))*2000</f>
        <v>70.74620568414885</v>
      </c>
      <c r="I14" s="98">
        <f>SUM(((E14*(B14*(1-D14)))/(B5*E5))*(I5/100))*2000</f>
        <v>82.53723996484032</v>
      </c>
      <c r="J14" s="98">
        <f>SUM(((E14*(B14*(1-D14)))/(B5*E5))*(J5/100))*2000</f>
        <v>94.3282742455318</v>
      </c>
      <c r="K14" s="98">
        <f>SUM(((E14*(B14*(1-D14)))/(B5*E5))*(K5/100))*2000</f>
        <v>106.11930852622326</v>
      </c>
      <c r="L14" s="98">
        <f>SUM(((E14*(B14*(1-D14)))/(B5*E5))*(L5/100))*2000</f>
        <v>117.91034280691476</v>
      </c>
      <c r="M14" s="98">
        <f>SUM(((E14*(B14*(1-D14)))/(B5*E5))*(M5/100))*2000</f>
        <v>129.70137708760623</v>
      </c>
      <c r="N14" s="98">
        <f>SUM(((E14*(B14*(1-D14)))/(B5*E5))*(N5/100))*2000</f>
        <v>141.4924113682977</v>
      </c>
      <c r="O14" s="99">
        <f>SUM(((E14*(B14*(1-D14)))/(B5*E5))*(O5/100))*2000</f>
        <v>153.2834456489892</v>
      </c>
      <c r="P14" s="100">
        <f>SUM(((E14*(B14*(1-D14)))/(B5*E5))*(P5/100))*2000</f>
        <v>165.07447992968065</v>
      </c>
      <c r="Q14" s="98">
        <f>SUM(((E14*(B14*(1-D14)))/(B5*E5))*(Q5/100))*2000</f>
        <v>176.8655142103721</v>
      </c>
      <c r="R14" s="98">
        <f>SUM(((E14*(B14*(1-D14)))/(B5*E5))*(R5/100))*2000</f>
        <v>188.6565484910636</v>
      </c>
      <c r="S14" s="98">
        <f>SUM(((E14*(B14*(1-D14)))/(B5*E5))*(S5/100))*2000</f>
        <v>200.4475827717551</v>
      </c>
      <c r="T14" s="98">
        <f>SUM(((E14*(B14*(1-D14)))/(B5*E5))*(T5/100))*2000</f>
        <v>212.23861705244653</v>
      </c>
      <c r="U14" s="98">
        <f>SUM(((E14*(B14*(1-D14)))/(B5*E5))*(U5/100))*2000</f>
        <v>224.02965133313802</v>
      </c>
      <c r="V14" s="98">
        <f>SUM(((E14*(B14*(1-D14)))/(B5*E5))*(V5/100))*2000</f>
        <v>235.8206856138295</v>
      </c>
    </row>
    <row r="15" spans="1:22" s="94" customFormat="1" ht="19.5" customHeight="1">
      <c r="A15" s="162" t="str">
        <f>Input!B16&amp;" ($/"&amp;Input!D16&amp;")"</f>
        <v>Sunflower Hulls  ($/ton)</v>
      </c>
      <c r="B15" s="155">
        <f>Input!E16</f>
        <v>7491</v>
      </c>
      <c r="C15" s="72" t="s">
        <v>32</v>
      </c>
      <c r="D15" s="157">
        <f>Input!G16</f>
        <v>0.1</v>
      </c>
      <c r="E15" s="157">
        <f>Input!H16</f>
        <v>0.65</v>
      </c>
      <c r="F15" s="98">
        <f>SUM(((E15*(B15*(1-D15)))/(B5*E5))*(F5/100))*2000</f>
        <v>51.35933196601231</v>
      </c>
      <c r="G15" s="98">
        <f>SUM(((E15*(B15*(1-D15)))/(B5*E5))*(G5/100))*2000</f>
        <v>64.19916495751539</v>
      </c>
      <c r="H15" s="98">
        <f>SUM(((E15*(B15*(1-D15)))/(B5*E5))*(H5/100))*2000</f>
        <v>77.03899794901847</v>
      </c>
      <c r="I15" s="98">
        <f>SUM(((E15*(B15*(1-D15)))/(B5*E5))*(I5/100))*2000</f>
        <v>89.87883094052155</v>
      </c>
      <c r="J15" s="98">
        <f>SUM(((E15*(B15*(1-D15)))/(B5*E5))*(J5/100))*2000</f>
        <v>102.71866393202463</v>
      </c>
      <c r="K15" s="98">
        <f>SUM(((E15*(B15*(1-D15)))/(B5*E5))*(K5/100))*2000</f>
        <v>115.5584969235277</v>
      </c>
      <c r="L15" s="98">
        <f>SUM(((E15*(B15*(1-D15)))/(B5*E5))*(L5/100))*2000</f>
        <v>128.39832991503079</v>
      </c>
      <c r="M15" s="98">
        <f>SUM(((E15*(B15*(1-D15)))/(B5*E5))*(M5/100))*2000</f>
        <v>141.23816290653386</v>
      </c>
      <c r="N15" s="98">
        <f>SUM(((E15*(B15*(1-D15)))/(B5*E5))*(N5/100))*2000</f>
        <v>154.07799589803693</v>
      </c>
      <c r="O15" s="99">
        <f>SUM(((E15*(B15*(1-D15)))/(B5*E5))*(O5/100))*2000</f>
        <v>166.91782888954</v>
      </c>
      <c r="P15" s="100">
        <f>SUM(((E15*(B15*(1-D15)))/(B5*E5))*(P5/100))*2000</f>
        <v>179.7576618810431</v>
      </c>
      <c r="Q15" s="98">
        <f>SUM(((E15*(B15*(1-D15)))/(B5*E5))*(Q5/100))*2000</f>
        <v>192.59749487254615</v>
      </c>
      <c r="R15" s="98">
        <f>SUM(((E15*(B15*(1-D15)))/(B5*E5))*(R5/100))*2000</f>
        <v>205.43732786404925</v>
      </c>
      <c r="S15" s="98">
        <f>SUM(((E15*(B15*(1-D15)))/(B5*E5))*(S5/100))*2000</f>
        <v>218.27716085555232</v>
      </c>
      <c r="T15" s="98">
        <f>SUM(((E15*(B15*(1-D15)))/(B5*E5))*(T5/100))*2000</f>
        <v>231.1169938470554</v>
      </c>
      <c r="U15" s="98">
        <f>SUM(((E15*(B15*(1-D15)))/(B5*E5))*(U5/100))*2000</f>
        <v>243.95682683855847</v>
      </c>
      <c r="V15" s="98">
        <f>SUM(((E15*(B15*(1-D15)))/(B5*E5))*(V5/100))*2000</f>
        <v>256.79665983006157</v>
      </c>
    </row>
    <row r="16" spans="1:22" s="142" customFormat="1" ht="19.5" customHeight="1">
      <c r="A16" s="162" t="str">
        <f>Input!B17&amp;" ($/"&amp;Input!D17&amp;")"</f>
        <v>Oat Hull Pellets  ($/ton)</v>
      </c>
      <c r="B16" s="158">
        <f>Input!E17</f>
        <v>7732</v>
      </c>
      <c r="C16" s="140" t="s">
        <v>32</v>
      </c>
      <c r="D16" s="159">
        <f>Input!G17</f>
        <v>0.08</v>
      </c>
      <c r="E16" s="159">
        <f>Input!H17</f>
        <v>0.65</v>
      </c>
      <c r="F16" s="141">
        <f>SUM(((E16*(B16*(1-D16)))/(B5*E5))*(F5/100))*2000</f>
        <v>54.189698212716095</v>
      </c>
      <c r="G16" s="141">
        <f>SUM(((E16*(B16*(1-D16)))/(B5*E5))*(G5/100))*2000</f>
        <v>67.73712276589512</v>
      </c>
      <c r="H16" s="141">
        <f>SUM(((E16*(B16*(1-D16)))/(B5*E5))*(H5/100))*2000</f>
        <v>81.28454731907414</v>
      </c>
      <c r="I16" s="141">
        <f>SUM(((E16*(B16*(1-D16)))/(B5*E5))*(I5/100))*2000</f>
        <v>94.83197187225318</v>
      </c>
      <c r="J16" s="141">
        <f>SUM(((E16*(B16*(1-D16)))/(B5*E5))*(J5/100))*2000</f>
        <v>108.37939642543219</v>
      </c>
      <c r="K16" s="141">
        <f>SUM(((E16*(B16*(1-D16)))/(B5*E5))*(K5/100))*2000</f>
        <v>121.92682097861122</v>
      </c>
      <c r="L16" s="141">
        <f>SUM(((E16*(B16*(1-D16)))/(B5*E5))*(L5/100))*2000</f>
        <v>135.47424553179025</v>
      </c>
      <c r="M16" s="141">
        <f>SUM(((E16*(B16*(1-D16)))/(B5*E5))*(M5/100))*2000</f>
        <v>149.0216700849693</v>
      </c>
      <c r="N16" s="141">
        <f>SUM(((E16*(B16*(1-D16)))/(B5*E5))*(N5/100))*2000</f>
        <v>162.56909463814827</v>
      </c>
      <c r="O16" s="141">
        <f>SUM(((E16*(B16*(1-D16)))/(B5*E5))*(O5/100))*2000</f>
        <v>176.1165191913273</v>
      </c>
      <c r="P16" s="143">
        <f>SUM(((E16*(B16*(1-D16)))/(B5*E5))*(P5/100))*2000</f>
        <v>189.66394374450635</v>
      </c>
      <c r="Q16" s="141">
        <f>SUM(((E16*(B16*(1-D16)))/(B5*E5))*(Q5/100))*2000</f>
        <v>203.21136829768534</v>
      </c>
      <c r="R16" s="141">
        <f>SUM(((E16*(B16*(1-D16)))/(B5*E5))*(R5/100))*2000</f>
        <v>216.75879285086438</v>
      </c>
      <c r="S16" s="141">
        <f>SUM(((E16*(B16*(1-D16)))/(B5*E5))*(S5/100))*2000</f>
        <v>230.30621740404342</v>
      </c>
      <c r="T16" s="141">
        <f>SUM(((E16*(B16*(1-D16)))/(B5*E5))*(T5/100))*2000</f>
        <v>243.85364195722244</v>
      </c>
      <c r="U16" s="141">
        <f>SUM(((E16*(B16*(1-D16)))/(B5*E5))*(U5/100))*2000</f>
        <v>257.40106651040145</v>
      </c>
      <c r="V16" s="141">
        <f>SUM(((E16*(B16*(1-D16)))/(B5*E5))*(V5/100))*2000</f>
        <v>270.9484910635805</v>
      </c>
    </row>
    <row r="17" spans="1:22" s="94" customFormat="1" ht="19.5" customHeight="1">
      <c r="A17" s="162" t="str">
        <f>Input!B18&amp;" ($/"&amp;Input!D18&amp;")"</f>
        <v>Wood Pellets #1 ($/ton)</v>
      </c>
      <c r="B17" s="155">
        <f>Input!E18</f>
        <v>8200</v>
      </c>
      <c r="C17" s="72" t="s">
        <v>32</v>
      </c>
      <c r="D17" s="157">
        <f>Input!G18</f>
        <v>0.05</v>
      </c>
      <c r="E17" s="157">
        <f>Input!H18</f>
        <v>0.65</v>
      </c>
      <c r="F17" s="98">
        <f>SUM(((E17*(B17*(1-D17)))/(B5*E5))*(F5/100))*2000</f>
        <v>59.34368590682684</v>
      </c>
      <c r="G17" s="98">
        <f>SUM(((E17*(B17*(1-D17)))/(B5*E5))*(G5/100))*2000</f>
        <v>74.17960738353356</v>
      </c>
      <c r="H17" s="98">
        <f>SUM(((E17*(B17*(1-D17)))/(B5*E5))*(H5/100))*2000</f>
        <v>89.01552886024027</v>
      </c>
      <c r="I17" s="98">
        <f>SUM(((E17*(B17*(1-D17)))/(B5*E5))*(I5/100))*2000</f>
        <v>103.85145033694698</v>
      </c>
      <c r="J17" s="98">
        <f>SUM(((E17*(B17*(1-D17)))/(B5*E5))*(J5/100))*2000</f>
        <v>118.68737181365368</v>
      </c>
      <c r="K17" s="98">
        <f>SUM(((E17*(B17*(1-D17)))/(B5*E5))*(K5/100))*2000</f>
        <v>133.52329329036039</v>
      </c>
      <c r="L17" s="98">
        <f>SUM(((E17*(B17*(1-D17)))/(B5*E5))*(L5/100))*2000</f>
        <v>148.35921476706713</v>
      </c>
      <c r="M17" s="98">
        <f>SUM(((E17*(B17*(1-D17)))/(B5*E5))*(M5/100))*2000</f>
        <v>163.19513624377382</v>
      </c>
      <c r="N17" s="98">
        <f>SUM(((E17*(B17*(1-D17)))/(B5*E5))*(N5/100))*2000</f>
        <v>178.03105772048053</v>
      </c>
      <c r="O17" s="99">
        <f>SUM(((E17*(B17*(1-D17)))/(B5*E5))*(O5/100))*2000</f>
        <v>192.86697919718722</v>
      </c>
      <c r="P17" s="100">
        <f>SUM(((E17*(B17*(1-D17)))/(B5*E5))*(P5/100))*2000</f>
        <v>207.70290067389396</v>
      </c>
      <c r="Q17" s="98">
        <f>SUM(((E17*(B17*(1-D17)))/(B5*E5))*(Q5/100))*2000</f>
        <v>222.53882215060065</v>
      </c>
      <c r="R17" s="98">
        <f>SUM(((E17*(B17*(1-D17)))/(B5*E5))*(R5/100))*2000</f>
        <v>237.37474362730737</v>
      </c>
      <c r="S17" s="98">
        <f>SUM(((E17*(B17*(1-D17)))/(B5*E5))*(S5/100))*2000</f>
        <v>252.21066510401408</v>
      </c>
      <c r="T17" s="98">
        <f>SUM(((E17*(B17*(1-D17)))/(B5*E5))*(T5/100))*2000</f>
        <v>267.04658658072077</v>
      </c>
      <c r="U17" s="98">
        <f>SUM(((E17*(B17*(1-D17)))/(B5*E5))*(U5/100))*2000</f>
        <v>281.88250805742746</v>
      </c>
      <c r="V17" s="98">
        <f>SUM(((E17*(B17*(1-D17)))/(B5*E5))*(V5/100))*2000</f>
        <v>296.71842953413426</v>
      </c>
    </row>
    <row r="18" spans="1:22" s="94" customFormat="1" ht="19.5" customHeight="1">
      <c r="A18" s="162" t="str">
        <f>Input!B19&amp;" ($/"&amp;Input!D19&amp;")"</f>
        <v>Recycled Fuel Pucks ($/ton)</v>
      </c>
      <c r="B18" s="155">
        <f>Input!E19</f>
        <v>8000</v>
      </c>
      <c r="C18" s="72" t="s">
        <v>32</v>
      </c>
      <c r="D18" s="157">
        <f>Input!G19</f>
        <v>0.05</v>
      </c>
      <c r="E18" s="157">
        <f>Input!H19</f>
        <v>0.65</v>
      </c>
      <c r="F18" s="98">
        <f>SUM(((E18*(B18*(1-D18)))/(B5*E5))*(F5/100))*2000</f>
        <v>57.89627893348959</v>
      </c>
      <c r="G18" s="98">
        <f>SUM(((E18*(B18*(1-D18)))/(B5*E5))*(G5/100))*2000</f>
        <v>72.370348666862</v>
      </c>
      <c r="H18" s="98">
        <f>SUM(((E18*(B18*(1-D18)))/(B5*E5))*(H5/100))*2000</f>
        <v>86.84441840023439</v>
      </c>
      <c r="I18" s="98">
        <f>SUM(((E18*(B18*(1-D18)))/(B5*E5))*(I5/100))*2000</f>
        <v>101.3184881336068</v>
      </c>
      <c r="J18" s="98">
        <f>SUM(((E18*(B18*(1-D18)))/(B5*E5))*(J5/100))*2000</f>
        <v>115.79255786697918</v>
      </c>
      <c r="K18" s="98">
        <f>SUM(((E18*(B18*(1-D18)))/(B5*E5))*(K5/100))*2000</f>
        <v>130.2666276003516</v>
      </c>
      <c r="L18" s="98">
        <f>SUM(((E18*(B18*(1-D18)))/(B5*E5))*(L5/100))*2000</f>
        <v>144.740697333724</v>
      </c>
      <c r="M18" s="98">
        <f>SUM(((E18*(B18*(1-D18)))/(B5*E5))*(M5/100))*2000</f>
        <v>159.2147670670964</v>
      </c>
      <c r="N18" s="98">
        <f>SUM(((E18*(B18*(1-D18)))/(B5*E5))*(N5/100))*2000</f>
        <v>173.68883680046878</v>
      </c>
      <c r="O18" s="99">
        <f>SUM(((E18*(B18*(1-D18)))/(B5*E5))*(O5/100))*2000</f>
        <v>188.16290653384118</v>
      </c>
      <c r="P18" s="100">
        <f>SUM(((E18*(B18*(1-D18)))/(B5*E5))*(P5/100))*2000</f>
        <v>202.6369762672136</v>
      </c>
      <c r="Q18" s="98">
        <f>SUM(((E18*(B18*(1-D18)))/(B5*E5))*(Q5/100))*2000</f>
        <v>217.111046000586</v>
      </c>
      <c r="R18" s="98">
        <f>SUM(((E18*(B18*(1-D18)))/(B5*E5))*(R5/100))*2000</f>
        <v>231.58511573395836</v>
      </c>
      <c r="S18" s="98">
        <f>SUM(((E18*(B18*(1-D18)))/(B5*E5))*(S5/100))*2000</f>
        <v>246.0591854673308</v>
      </c>
      <c r="T18" s="98">
        <f>SUM(((E18*(B18*(1-D18)))/(B5*E5))*(T5/100))*2000</f>
        <v>260.5332552007032</v>
      </c>
      <c r="U18" s="98">
        <f>SUM(((E18*(B18*(1-D18)))/(B5*E5))*(U5/100))*2000</f>
        <v>275.0073249340756</v>
      </c>
      <c r="V18" s="98">
        <f>SUM(((E18*(B18*(1-D18)))/(B5*E5))*(V5/100))*2000</f>
        <v>289.481394667448</v>
      </c>
    </row>
    <row r="19" spans="1:22" s="94" customFormat="1" ht="19.5" customHeight="1">
      <c r="A19" s="162" t="str">
        <f>Input!B20&amp;" ($/"&amp;Input!D20&amp;")"</f>
        <v>Wheat HRS (60lb) ($/bushel)</v>
      </c>
      <c r="B19" s="155">
        <f>Input!E20</f>
        <v>8700</v>
      </c>
      <c r="C19" s="72" t="s">
        <v>32</v>
      </c>
      <c r="D19" s="157">
        <f>Input!G20</f>
        <v>0.135</v>
      </c>
      <c r="E19" s="157">
        <f>Input!H20</f>
        <v>0.65</v>
      </c>
      <c r="F19" s="95">
        <f>SUM(((E19*(B19*(1-D19)))/(B5*E5))*(F5/100))*60</f>
        <v>1.7198622912393786</v>
      </c>
      <c r="G19" s="95">
        <f>SUM(((E19*(B19*(1-D19)))/(B5*E5))*(G5/100))*60</f>
        <v>2.1498278640492234</v>
      </c>
      <c r="H19" s="95">
        <f>SUM(((E19*(B19*(1-D19)))/(B5*E5))*(H5/100))*60</f>
        <v>2.5797934368590676</v>
      </c>
      <c r="I19" s="95">
        <f>SUM(((E19*(B19*(1-D19)))/(B5*E5))*(I5/100))*60</f>
        <v>3.009759009668913</v>
      </c>
      <c r="J19" s="95">
        <f>SUM(((E19*(B19*(1-D19)))/(B5*E5))*(J5/100))*60</f>
        <v>3.4397245824787572</v>
      </c>
      <c r="K19" s="95">
        <f>SUM(((E19*(B19*(1-D19)))/(B5*E5))*(K5/100))*60</f>
        <v>3.869690155288602</v>
      </c>
      <c r="L19" s="95">
        <f>SUM(((E19*(B19*(1-D19)))/(B5*E5))*(L5/100))*60</f>
        <v>4.299655728098447</v>
      </c>
      <c r="M19" s="95">
        <f>SUM(((E19*(B19*(1-D19)))/(B5*E5))*(M5/100))*60</f>
        <v>4.729621300908292</v>
      </c>
      <c r="N19" s="95">
        <f>SUM(((E19*(B19*(1-D19)))/(B5*E5))*(N5/100))*60</f>
        <v>5.159586873718135</v>
      </c>
      <c r="O19" s="96">
        <f>SUM(((E19*(B19*(1-D19)))/(B5*E5))*(O5/100))*60</f>
        <v>5.589552446527981</v>
      </c>
      <c r="P19" s="97">
        <f>SUM(((E19*(B19*(1-D19)))/(B5*E5))*(P5/100))*60</f>
        <v>6.019518019337826</v>
      </c>
      <c r="Q19" s="95">
        <f>SUM(((E19*(B19*(1-D19)))/(B5*E5))*(Q5/100))*60</f>
        <v>6.449483592147669</v>
      </c>
      <c r="R19" s="95">
        <f>SUM(((E19*(B19*(1-D19)))/(B5*E5))*(R5/100))*60</f>
        <v>6.8794491649575145</v>
      </c>
      <c r="S19" s="95">
        <f>SUM(((E19*(B19*(1-D19)))/(B5*E5))*(S5/100))*60</f>
        <v>7.30941473776736</v>
      </c>
      <c r="T19" s="95">
        <f>SUM(((E19*(B19*(1-D19)))/(B5*E5))*(T5/100))*60</f>
        <v>7.739380310577204</v>
      </c>
      <c r="U19" s="95">
        <f>SUM(((E19*(B19*(1-D19)))/(B5*E5))*(U5/100))*60</f>
        <v>8.169345883387049</v>
      </c>
      <c r="V19" s="95">
        <f>SUM(((E19*(B19*(1-D19)))/(B5*E5))*(V5/100))*60</f>
        <v>8.599311456196894</v>
      </c>
    </row>
    <row r="20" spans="1:22" s="94" customFormat="1" ht="19.5" customHeight="1">
      <c r="A20" s="162" t="str">
        <f>Input!B21&amp;" ($/"&amp;Input!D21&amp;")"</f>
        <v>Oats (34 lb) ($/bushel)</v>
      </c>
      <c r="B20" s="155">
        <f>Input!E21</f>
        <v>8242</v>
      </c>
      <c r="C20" s="72" t="s">
        <v>32</v>
      </c>
      <c r="D20" s="157">
        <f>Input!G21</f>
        <v>0.125</v>
      </c>
      <c r="E20" s="157">
        <f>Input!H21</f>
        <v>0.65</v>
      </c>
      <c r="F20" s="95">
        <f>SUM(((E20*(B20*(1-D20)))/(B5*E5))*(F5/100))*34</f>
        <v>0.933956489891591</v>
      </c>
      <c r="G20" s="95">
        <f>SUM(((E20*(B20*(1-D20)))/(B5*E5))*(G5/100))*34</f>
        <v>1.1674456123644887</v>
      </c>
      <c r="H20" s="95">
        <f>SUM(((E20*(B20*(1-D20)))/(B5*E5))*(H5/100))*34</f>
        <v>1.4009347348373864</v>
      </c>
      <c r="I20" s="95">
        <f>SUM(((E20*(B20*(1-D20)))/(B5*E5))*(I5/100))*34</f>
        <v>1.6344238573102843</v>
      </c>
      <c r="J20" s="95">
        <f>SUM(((E20*(B20*(1-D20)))/(B5*E5))*(J5/100))*34</f>
        <v>1.867912979783182</v>
      </c>
      <c r="K20" s="95">
        <f>SUM(((E20*(B20*(1-D20)))/(B5*E5))*(K5/100))*34</f>
        <v>2.10140210225608</v>
      </c>
      <c r="L20" s="95">
        <f>SUM(((E20*(B20*(1-D20)))/(B5*E5))*(L5/100))*34</f>
        <v>2.3348912247289775</v>
      </c>
      <c r="M20" s="95">
        <f>SUM(((E20*(B20*(1-D20)))/(B5*E5))*(M5/100))*34</f>
        <v>2.568380347201875</v>
      </c>
      <c r="N20" s="95">
        <f>SUM(((E20*(B20*(1-D20)))/(B5*E5))*(N5/100))*34</f>
        <v>2.801869469674773</v>
      </c>
      <c r="O20" s="96">
        <f>SUM(((E20*(B20*(1-D20)))/(B5*E5))*(O5/100))*34</f>
        <v>3.035358592147671</v>
      </c>
      <c r="P20" s="97">
        <f>SUM(((E20*(B20*(1-D20)))/(B5*E5))*(P5/100))*34</f>
        <v>3.2688477146205686</v>
      </c>
      <c r="Q20" s="95">
        <f>SUM(((E20*(B20*(1-D20)))/(B5*E5))*(Q5/100))*34</f>
        <v>3.502336837093466</v>
      </c>
      <c r="R20" s="95">
        <f>SUM(((E20*(B20*(1-D20)))/(B5*E5))*(R5/100))*34</f>
        <v>3.735825959566364</v>
      </c>
      <c r="S20" s="95">
        <f>SUM(((E20*(B20*(1-D20)))/(B5*E5))*(S5/100))*34</f>
        <v>3.969315082039262</v>
      </c>
      <c r="T20" s="95">
        <f>SUM(((E20*(B20*(1-D20)))/(B5*E5))*(T5/100))*34</f>
        <v>4.20280420451216</v>
      </c>
      <c r="U20" s="95">
        <f>SUM(((E20*(B20*(1-D20)))/(B5*E5))*(U5/100))*34</f>
        <v>4.436293326985058</v>
      </c>
      <c r="V20" s="95">
        <f>SUM(((E20*(B20*(1-D20)))/(B5*E5))*(V5/100))*34</f>
        <v>4.669782449457955</v>
      </c>
    </row>
    <row r="21" spans="1:22" s="94" customFormat="1" ht="19.5" customHeight="1">
      <c r="A21" s="162" t="str">
        <f>Input!B22&amp;" ($/"&amp;Input!D22&amp;")"</f>
        <v>Barley (48 lb) ($/bushel)</v>
      </c>
      <c r="B21" s="155">
        <f>Input!E22</f>
        <v>8200</v>
      </c>
      <c r="C21" s="72" t="s">
        <v>32</v>
      </c>
      <c r="D21" s="157">
        <f>Input!G22</f>
        <v>0.125</v>
      </c>
      <c r="E21" s="157">
        <f>Input!H22</f>
        <v>0.65</v>
      </c>
      <c r="F21" s="95">
        <f>SUM(((E21*(B21*(1-D21)))/(B5*E5))*(F5/100))*48</f>
        <v>1.3118077937298565</v>
      </c>
      <c r="G21" s="95">
        <f>SUM(((E21*(B21*(1-D21)))/(B5*E5))*(G5/100))*48</f>
        <v>1.6397597421623207</v>
      </c>
      <c r="H21" s="95">
        <f>SUM(((E21*(B21*(1-D21)))/(B5*E5))*(H5/100))*48</f>
        <v>1.9677116905947847</v>
      </c>
      <c r="I21" s="95">
        <f>SUM(((E21*(B21*(1-D21)))/(B5*E5))*(I5/100))*48</f>
        <v>2.295663639027249</v>
      </c>
      <c r="J21" s="95">
        <f>SUM(((E21*(B21*(1-D21)))/(B5*E5))*(J5/100))*48</f>
        <v>2.623615587459713</v>
      </c>
      <c r="K21" s="95">
        <f>SUM(((E21*(B21*(1-D21)))/(B5*E5))*(K5/100))*48</f>
        <v>2.951567535892177</v>
      </c>
      <c r="L21" s="95">
        <f>SUM(((E21*(B21*(1-D21)))/(B5*E5))*(L5/100))*48</f>
        <v>3.2795194843246414</v>
      </c>
      <c r="M21" s="95">
        <f>SUM(((E21*(B21*(1-D21)))/(B5*E5))*(M5/100))*48</f>
        <v>3.607471432757105</v>
      </c>
      <c r="N21" s="95">
        <f>SUM(((E21*(B21*(1-D21)))/(B5*E5))*(N5/100))*48</f>
        <v>3.9354233811895694</v>
      </c>
      <c r="O21" s="96">
        <f>SUM(((E21*(B21*(1-D21)))/(B5*E5))*(O5/100))*48</f>
        <v>4.263375329622034</v>
      </c>
      <c r="P21" s="97">
        <f>SUM(((E21*(B21*(1-D21)))/(B5*E5))*(P5/100))*48</f>
        <v>4.591327278054498</v>
      </c>
      <c r="Q21" s="95">
        <f>SUM(((E21*(B21*(1-D21)))/(B5*E5))*(Q5/100))*48</f>
        <v>4.919279226486961</v>
      </c>
      <c r="R21" s="95">
        <f>SUM(((E21*(B21*(1-D21)))/(B5*E5))*(R5/100))*48</f>
        <v>5.247231174919426</v>
      </c>
      <c r="S21" s="95">
        <f>SUM(((E21*(B21*(1-D21)))/(B5*E5))*(S5/100))*48</f>
        <v>5.5751831233518905</v>
      </c>
      <c r="T21" s="95">
        <f>SUM(((E21*(B21*(1-D21)))/(B5*E5))*(T5/100))*48</f>
        <v>5.903135071784354</v>
      </c>
      <c r="U21" s="95">
        <f>SUM(((E21*(B21*(1-D21)))/(B5*E5))*(U5/100))*48</f>
        <v>6.231087020216819</v>
      </c>
      <c r="V21" s="95">
        <f>SUM(((E21*(B21*(1-D21)))/(B5*E5))*(V5/100))*48</f>
        <v>6.559038968649283</v>
      </c>
    </row>
    <row r="22" spans="1:22" s="94" customFormat="1" ht="19.5" customHeight="1">
      <c r="A22" s="162" t="str">
        <f>Input!B23&amp;" ($/"&amp;Input!D23&amp;")"</f>
        <v>Corn (56lb) ($/bushel)</v>
      </c>
      <c r="B22" s="155">
        <f>Input!E23</f>
        <v>8500</v>
      </c>
      <c r="C22" s="72" t="s">
        <v>32</v>
      </c>
      <c r="D22" s="157">
        <f>Input!G23</f>
        <v>0.155</v>
      </c>
      <c r="E22" s="157">
        <f>Input!H23</f>
        <v>0.65</v>
      </c>
      <c r="F22" s="95">
        <f>SUM(((E22*(B22*(1-D22)))/(B5*E5))*(F5/100))*56</f>
        <v>1.5320421916202756</v>
      </c>
      <c r="G22" s="95">
        <f>SUM(((E22*(B22*(1-D22)))/(B5*E5))*(G5/100))*56</f>
        <v>1.9150527395253443</v>
      </c>
      <c r="H22" s="95">
        <f>SUM(((E22*(B22*(1-D22)))/(B5*E5))*(H5/100))*56</f>
        <v>2.298063287430413</v>
      </c>
      <c r="I22" s="95">
        <f>SUM(((E22*(B22*(1-D22)))/(B5*E5))*(I5/100))*56</f>
        <v>2.681073835335482</v>
      </c>
      <c r="J22" s="95">
        <f>SUM(((E22*(B22*(1-D22)))/(B5*E5))*(J5/100))*56</f>
        <v>3.064084383240551</v>
      </c>
      <c r="K22" s="95">
        <f>SUM(((E22*(B22*(1-D22)))/(B5*E5))*(K5/100))*56</f>
        <v>3.4470949311456196</v>
      </c>
      <c r="L22" s="95">
        <f>SUM(((E22*(B22*(1-D22)))/(B5*E5))*(L5/100))*56</f>
        <v>3.8301054790506885</v>
      </c>
      <c r="M22" s="95">
        <f>SUM(((E22*(B22*(1-D22)))/(B5*E5))*(M5/100))*56</f>
        <v>4.213116026955758</v>
      </c>
      <c r="N22" s="95">
        <f>SUM(((E22*(B22*(1-D22)))/(B5*E5))*(N5/100))*56</f>
        <v>4.596126574860826</v>
      </c>
      <c r="O22" s="96">
        <f>SUM(((E22*(B22*(1-D22)))/(B5*E5))*(O5/100))*56</f>
        <v>4.979137122765895</v>
      </c>
      <c r="P22" s="97">
        <f>SUM(((E22*(B22*(1-D22)))/(B5*E5))*(P5/100))*56</f>
        <v>5.362147670670964</v>
      </c>
      <c r="Q22" s="95">
        <f>SUM(((E22*(B22*(1-D22)))/(B5*E5))*(Q5/100))*56</f>
        <v>5.745158218576032</v>
      </c>
      <c r="R22" s="95">
        <f>SUM(((E22*(B22*(1-D22)))/(B5*E5))*(R5/100))*56</f>
        <v>6.128168766481102</v>
      </c>
      <c r="S22" s="95">
        <f>SUM(((E22*(B22*(1-D22)))/(B5*E5))*(S5/100))*56</f>
        <v>6.511179314386171</v>
      </c>
      <c r="T22" s="95">
        <f>SUM(((E22*(B22*(1-D22)))/(B5*E5))*(T5/100))*56</f>
        <v>6.894189862291239</v>
      </c>
      <c r="U22" s="95">
        <f>SUM(((E22*(B22*(1-D22)))/(B5*E5))*(U5/100))*56</f>
        <v>7.277200410196309</v>
      </c>
      <c r="V22" s="95">
        <f>SUM(((E22*(B22*(1-D22)))/(B5*E5))*(V5/100))*56</f>
        <v>7.660210958101377</v>
      </c>
    </row>
    <row r="23" spans="1:22" s="94" customFormat="1" ht="19.5" customHeight="1">
      <c r="A23" s="162" t="str">
        <f>Input!B24&amp;" ($/"&amp;Input!D24&amp;")"</f>
        <v>Sunflower Seeds  ($/pound)</v>
      </c>
      <c r="B23" s="155">
        <f>Input!E24</f>
        <v>12000</v>
      </c>
      <c r="C23" s="72" t="s">
        <v>32</v>
      </c>
      <c r="D23" s="157">
        <f>Input!G24</f>
        <v>0.08</v>
      </c>
      <c r="E23" s="157">
        <f>Input!H24</f>
        <v>0.65</v>
      </c>
      <c r="F23" s="95">
        <f>SUM(((E23*(B23*(1-D23)))/(B5*E5))*(F5/100))</f>
        <v>0.042050981541166134</v>
      </c>
      <c r="G23" s="95">
        <f>SUM(((E23*(B23*(1-D23)))/(B5*E5))*(G5/100))</f>
        <v>0.052563726926457666</v>
      </c>
      <c r="H23" s="95">
        <f>SUM(((E23*(B23*(1-D23)))/(B5*E5))*(H5/100))</f>
        <v>0.06307647231174919</v>
      </c>
      <c r="I23" s="95">
        <f>SUM(((E23*(B23*(1-D23)))/(B5*E5))*(I5/100))</f>
        <v>0.07358921769704074</v>
      </c>
      <c r="J23" s="95">
        <f>SUM(((E23*(B23*(1-D23)))/(B5*E5))*(J5/100))</f>
        <v>0.08410196308233227</v>
      </c>
      <c r="K23" s="95">
        <f>SUM(((E23*(B23*(1-D23)))/(B5*E5))*(K5/100))</f>
        <v>0.09461470846762379</v>
      </c>
      <c r="L23" s="95">
        <f>SUM(((E23*(B23*(1-D23)))/(B5*E5))*(L5/100))</f>
        <v>0.10512745385291533</v>
      </c>
      <c r="M23" s="95">
        <f>SUM(((E23*(B23*(1-D23)))/(B5*E5))*(M5/100))</f>
        <v>0.11564019923820687</v>
      </c>
      <c r="N23" s="95">
        <f>SUM(((E23*(B23*(1-D23)))/(B5*E5))*(N5/100))</f>
        <v>0.12615294462349838</v>
      </c>
      <c r="O23" s="96">
        <f>SUM(((E23*(B23*(1-D23)))/(B5*E5))*(O5/100))</f>
        <v>0.13666569000878995</v>
      </c>
      <c r="P23" s="97">
        <f>SUM(((E23*(B23*(1-D23)))/(B5*E5))*(P5/100))</f>
        <v>0.14717843539408149</v>
      </c>
      <c r="Q23" s="95">
        <f>SUM(((E23*(B23*(1-D23)))/(B5*E5))*(Q5/100))</f>
        <v>0.157691180779373</v>
      </c>
      <c r="R23" s="95">
        <f>SUM(((E23*(B23*(1-D23)))/(B5*E5))*(R5/100))</f>
        <v>0.16820392616466454</v>
      </c>
      <c r="S23" s="95">
        <f>SUM(((E23*(B23*(1-D23)))/(B5*E5))*(S5/100))</f>
        <v>0.17871667154995607</v>
      </c>
      <c r="T23" s="95">
        <f>SUM(((E23*(B23*(1-D23)))/(B5*E5))*(T5/100))</f>
        <v>0.18922941693524759</v>
      </c>
      <c r="U23" s="95">
        <f>SUM(((E23*(B23*(1-D23)))/(B5*E5))*(U5/100))</f>
        <v>0.19974216232053912</v>
      </c>
      <c r="V23" s="95">
        <f>SUM(((E23*(B23*(1-D23)))/(B5*E5))*(V5/100))</f>
        <v>0.21025490770583066</v>
      </c>
    </row>
    <row r="24" spans="1:22" s="94" customFormat="1" ht="19.5" customHeight="1">
      <c r="A24" s="162" t="str">
        <f>Input!B25&amp;" ($/"&amp;Input!D25&amp;")"</f>
        <v>Firewood (2100lb/124cft.) ($/cord)</v>
      </c>
      <c r="B24" s="155">
        <f>Input!E25</f>
        <v>6900</v>
      </c>
      <c r="C24" s="72" t="s">
        <v>32</v>
      </c>
      <c r="D24" s="157">
        <f>Input!G25</f>
        <v>0.2</v>
      </c>
      <c r="E24" s="157">
        <f>Input!H25</f>
        <v>0.5</v>
      </c>
      <c r="F24" s="98">
        <f>SUM(((E24*(B24*(1-D24)))/(B5*E5))*(F5/100))*2100</f>
        <v>33.9642543217111</v>
      </c>
      <c r="G24" s="98">
        <f>SUM(((E24*(B24*(1-D24)))/(B5*E5))*(G5/100))*2100</f>
        <v>42.45531790213889</v>
      </c>
      <c r="H24" s="98">
        <f>SUM(((E24*(B24*(1-D24)))/(B5*E5))*(H5/100))*2100</f>
        <v>50.94638148256665</v>
      </c>
      <c r="I24" s="98">
        <f>SUM(((E24*(B24*(1-D24)))/(B5*E5))*(I5/100))*2100</f>
        <v>59.437445062994435</v>
      </c>
      <c r="J24" s="98">
        <f>SUM(((E24*(B24*(1-D24)))/(B5*E5))*(J5/100))*2100</f>
        <v>67.9285086434222</v>
      </c>
      <c r="K24" s="98">
        <f>SUM(((E24*(B24*(1-D24)))/(B5*E5))*(K5/100))*2100</f>
        <v>76.41957222384998</v>
      </c>
      <c r="L24" s="98">
        <f>SUM(((E24*(B24*(1-D24)))/(B5*E5))*(L5/100))*2100</f>
        <v>84.91063580427777</v>
      </c>
      <c r="M24" s="98">
        <f>SUM(((E24*(B24*(1-D24)))/(B5*E5))*(M5/100))*2100</f>
        <v>93.40169938470552</v>
      </c>
      <c r="N24" s="98">
        <f>SUM(((E24*(B24*(1-D24)))/(B5*E5))*(N5/100))*2100</f>
        <v>101.8927629651333</v>
      </c>
      <c r="O24" s="99">
        <f>SUM(((E24*(B24*(1-D24)))/(B5*E5))*(O5/100))*2100</f>
        <v>110.38382654556108</v>
      </c>
      <c r="P24" s="100">
        <f>SUM(((E24*(B24*(1-D24)))/(B5*E5))*(P5/100))*2100</f>
        <v>118.87489012598887</v>
      </c>
      <c r="Q24" s="98">
        <f>SUM(((E24*(B24*(1-D24)))/(B5*E5))*(Q5/100))*2100</f>
        <v>127.36595370641662</v>
      </c>
      <c r="R24" s="98">
        <f>SUM(((E24*(B24*(1-D24)))/(B5*E5))*(R5/100))*2100</f>
        <v>135.8570172868444</v>
      </c>
      <c r="S24" s="98">
        <f>SUM(((E24*(B24*(1-D24)))/(B5*E5))*(S5/100))*2100</f>
        <v>144.34808086727222</v>
      </c>
      <c r="T24" s="98">
        <f>SUM(((E24*(B24*(1-D24)))/(B5*E5))*(T5/100))*2100</f>
        <v>152.83914444769997</v>
      </c>
      <c r="U24" s="98">
        <f>SUM(((E24*(B24*(1-D24)))/(B5*E5))*(U5/100))*2100</f>
        <v>161.33020802812774</v>
      </c>
      <c r="V24" s="98">
        <f>SUM(((E24*(B24*(1-D24)))/(B5*E5))*(V5/100))*2100</f>
        <v>169.82127160855555</v>
      </c>
    </row>
    <row r="25" spans="1:22" s="94" customFormat="1" ht="13.5" customHeight="1">
      <c r="A25" s="73"/>
      <c r="B25" s="77"/>
      <c r="C25" s="75"/>
      <c r="D25" s="101"/>
      <c r="E25" s="102"/>
      <c r="F25" s="103"/>
      <c r="G25" s="103"/>
      <c r="H25" s="103"/>
      <c r="I25" s="103"/>
      <c r="J25" s="103"/>
      <c r="K25" s="103"/>
      <c r="L25" s="103"/>
      <c r="M25" s="103"/>
      <c r="N25" s="103"/>
      <c r="O25" s="103"/>
      <c r="P25" s="103"/>
      <c r="Q25" s="103"/>
      <c r="R25" s="103"/>
      <c r="S25" s="103"/>
      <c r="T25" s="103"/>
      <c r="U25" s="103"/>
      <c r="V25" s="103"/>
    </row>
    <row r="26" spans="1:22" ht="15.75">
      <c r="A26" s="104" t="s">
        <v>66</v>
      </c>
      <c r="B26" s="2"/>
      <c r="C26" s="2"/>
      <c r="D26" s="2"/>
      <c r="E26" s="2"/>
      <c r="F26" s="2"/>
      <c r="G26" s="2"/>
      <c r="H26" s="2"/>
      <c r="I26" s="2"/>
      <c r="J26" s="2"/>
      <c r="K26" s="2"/>
      <c r="L26" s="2"/>
      <c r="M26" s="2"/>
      <c r="N26" s="2"/>
      <c r="O26" s="2"/>
      <c r="P26" s="2"/>
      <c r="Q26" s="2"/>
      <c r="R26" s="2"/>
      <c r="S26" s="2"/>
      <c r="T26" s="2"/>
      <c r="U26" s="2"/>
      <c r="V26" s="2"/>
    </row>
    <row r="27" spans="1:22" ht="66.75" customHeight="1">
      <c r="A27" s="177" t="s">
        <v>105</v>
      </c>
      <c r="B27" s="178"/>
      <c r="C27" s="178"/>
      <c r="D27" s="178"/>
      <c r="E27" s="178"/>
      <c r="F27" s="178"/>
      <c r="G27" s="178"/>
      <c r="H27" s="178"/>
      <c r="I27" s="178"/>
      <c r="J27" s="178"/>
      <c r="K27" s="178"/>
      <c r="L27" s="178"/>
      <c r="M27" s="178"/>
      <c r="N27" s="178"/>
      <c r="O27" s="178"/>
      <c r="P27" s="178"/>
      <c r="Q27" s="178"/>
      <c r="R27" s="178"/>
      <c r="S27" s="178"/>
      <c r="T27" s="178"/>
      <c r="U27" s="178"/>
      <c r="V27" s="178"/>
    </row>
    <row r="29" ht="15.75">
      <c r="A29" s="5" t="s">
        <v>67</v>
      </c>
    </row>
    <row r="30" spans="1:22" ht="12.75">
      <c r="A30" s="179" t="s">
        <v>68</v>
      </c>
      <c r="B30" s="179"/>
      <c r="C30" s="179"/>
      <c r="D30" s="179"/>
      <c r="E30" s="179"/>
      <c r="F30" s="179"/>
      <c r="G30" s="179"/>
      <c r="H30" s="179"/>
      <c r="I30" s="179"/>
      <c r="J30" s="179"/>
      <c r="K30" s="179"/>
      <c r="L30" s="179"/>
      <c r="M30" s="179"/>
      <c r="N30" s="179"/>
      <c r="O30" s="179"/>
      <c r="P30" s="179"/>
      <c r="Q30" s="179"/>
      <c r="R30" s="179"/>
      <c r="S30" s="179"/>
      <c r="T30" s="179"/>
      <c r="U30" s="179"/>
      <c r="V30" s="179"/>
    </row>
    <row r="31" spans="1:22" ht="12.75">
      <c r="A31" s="105"/>
      <c r="B31" s="105"/>
      <c r="C31" s="105"/>
      <c r="D31" s="105"/>
      <c r="E31" s="105"/>
      <c r="F31" s="105"/>
      <c r="G31" s="105"/>
      <c r="H31" s="105"/>
      <c r="I31" s="105"/>
      <c r="J31" s="105"/>
      <c r="K31" s="105"/>
      <c r="L31" s="105"/>
      <c r="M31" s="105"/>
      <c r="N31" s="105"/>
      <c r="O31" s="105"/>
      <c r="P31" s="105"/>
      <c r="Q31" s="105"/>
      <c r="R31" s="105"/>
      <c r="S31" s="105"/>
      <c r="T31" s="105"/>
      <c r="U31" s="105"/>
      <c r="V31" s="105"/>
    </row>
    <row r="32" ht="12.75">
      <c r="A32" s="106" t="str">
        <f>"2012 Manitoba Residential Energy Rates - electricity $"&amp;Input!C6&amp;"/kWh and natural gas $"&amp;Input!C7&amp;"/m3 (approximate rates including tax)"</f>
        <v>2012 Manitoba Residential Energy Rates - electricity $0.0738901/kWh and natural gas $0.3555/m3 (approximate rates including tax)</v>
      </c>
    </row>
    <row r="34" spans="1:22" ht="31.5" customHeight="1">
      <c r="A34" s="180" t="s">
        <v>69</v>
      </c>
      <c r="B34" s="181"/>
      <c r="C34" s="181"/>
      <c r="D34" s="181"/>
      <c r="E34" s="181"/>
      <c r="F34" s="181"/>
      <c r="G34" s="181"/>
      <c r="H34" s="181"/>
      <c r="I34" s="181"/>
      <c r="J34" s="181"/>
      <c r="K34" s="181"/>
      <c r="L34" s="181"/>
      <c r="M34" s="181"/>
      <c r="N34" s="181"/>
      <c r="O34" s="181"/>
      <c r="P34" s="181"/>
      <c r="Q34" s="181"/>
      <c r="R34" s="181"/>
      <c r="S34" s="181"/>
      <c r="T34" s="181"/>
      <c r="U34" s="181"/>
      <c r="V34" s="181"/>
    </row>
  </sheetData>
  <sheetProtection password="C6A6" sheet="1" objects="1" scenarios="1"/>
  <mergeCells count="9">
    <mergeCell ref="A27:V27"/>
    <mergeCell ref="A30:V30"/>
    <mergeCell ref="A34:V34"/>
    <mergeCell ref="A3:A4"/>
    <mergeCell ref="B3:B4"/>
    <mergeCell ref="C3:C4"/>
    <mergeCell ref="D3:D4"/>
    <mergeCell ref="E3:E4"/>
    <mergeCell ref="F3:V4"/>
  </mergeCells>
  <printOptions/>
  <pageMargins left="0.3937007874015748" right="0.3937007874015748" top="0.7480314960629921" bottom="0.7480314960629921" header="0.31496062992125984" footer="0.31496062992125984"/>
  <pageSetup firstPageNumber="3" useFirstPageNumber="1" fitToHeight="1" fitToWidth="1" horizontalDpi="600" verticalDpi="600" orientation="landscape" scale="72" r:id="rId1"/>
  <headerFooter>
    <oddHeader>&amp;LGuidelines: Manitoba Heating Fuels Cost Comparison&amp;R&amp;P</oddHeader>
    <oddFooter xml:space="preserve">&amp;RMAFRI, GO Team Branch </oddFooter>
  </headerFooter>
</worksheet>
</file>

<file path=xl/worksheets/sheet4.xml><?xml version="1.0" encoding="utf-8"?>
<worksheet xmlns="http://schemas.openxmlformats.org/spreadsheetml/2006/main" xmlns:r="http://schemas.openxmlformats.org/officeDocument/2006/relationships">
  <sheetPr codeName="Sheet6">
    <pageSetUpPr fitToPage="1"/>
  </sheetPr>
  <dimension ref="A1:V34"/>
  <sheetViews>
    <sheetView zoomScalePageLayoutView="0" workbookViewId="0" topLeftCell="A1">
      <selection activeCell="A1" sqref="A1"/>
    </sheetView>
  </sheetViews>
  <sheetFormatPr defaultColWidth="9.140625" defaultRowHeight="12.75"/>
  <cols>
    <col min="1" max="1" width="31.8515625" style="0" customWidth="1"/>
    <col min="5" max="5" width="9.421875" style="0" customWidth="1"/>
    <col min="6" max="22" width="6.7109375" style="0" customWidth="1"/>
  </cols>
  <sheetData>
    <row r="1" spans="1:20" ht="18">
      <c r="A1" s="109" t="str">
        <f>"Manitoba Heating Fuels Cost Comparison - Equivalent Fuel Price Based on Coal Cost per Ton"</f>
        <v>Manitoba Heating Fuels Cost Comparison - Equivalent Fuel Price Based on Coal Cost per Ton</v>
      </c>
      <c r="B1" s="110"/>
      <c r="C1" s="110"/>
      <c r="D1" s="110"/>
      <c r="E1" s="110"/>
      <c r="F1" s="110"/>
      <c r="G1" s="110"/>
      <c r="R1" s="48" t="s">
        <v>7</v>
      </c>
      <c r="S1" s="108" t="str">
        <f>Introduction!H7</f>
        <v>November, 2012</v>
      </c>
      <c r="T1" s="4"/>
    </row>
    <row r="3" spans="1:22" s="94" customFormat="1" ht="12.75">
      <c r="A3" s="182" t="s">
        <v>43</v>
      </c>
      <c r="B3" s="183" t="s">
        <v>44</v>
      </c>
      <c r="C3" s="183" t="s">
        <v>45</v>
      </c>
      <c r="D3" s="184" t="s">
        <v>46</v>
      </c>
      <c r="E3" s="184" t="s">
        <v>47</v>
      </c>
      <c r="F3" s="185" t="s">
        <v>65</v>
      </c>
      <c r="G3" s="185"/>
      <c r="H3" s="185"/>
      <c r="I3" s="185"/>
      <c r="J3" s="185"/>
      <c r="K3" s="185"/>
      <c r="L3" s="185"/>
      <c r="M3" s="185"/>
      <c r="N3" s="185"/>
      <c r="O3" s="185"/>
      <c r="P3" s="185"/>
      <c r="Q3" s="185"/>
      <c r="R3" s="185"/>
      <c r="S3" s="185"/>
      <c r="T3" s="185"/>
      <c r="U3" s="185"/>
      <c r="V3" s="185"/>
    </row>
    <row r="4" spans="1:22" s="94" customFormat="1" ht="12.75">
      <c r="A4" s="182"/>
      <c r="B4" s="183"/>
      <c r="C4" s="183"/>
      <c r="D4" s="184"/>
      <c r="E4" s="184"/>
      <c r="F4" s="185"/>
      <c r="G4" s="185"/>
      <c r="H4" s="185"/>
      <c r="I4" s="185"/>
      <c r="J4" s="185"/>
      <c r="K4" s="185"/>
      <c r="L4" s="185"/>
      <c r="M4" s="185"/>
      <c r="N4" s="185"/>
      <c r="O4" s="185"/>
      <c r="P4" s="185"/>
      <c r="Q4" s="185"/>
      <c r="R4" s="185"/>
      <c r="S4" s="185"/>
      <c r="T4" s="185"/>
      <c r="U4" s="185"/>
      <c r="V4" s="185"/>
    </row>
    <row r="5" spans="1:22" ht="19.5" customHeight="1">
      <c r="A5" s="163" t="str">
        <f>Input!B9&amp;" ($/"&amp;Input!D9&amp;")"</f>
        <v>Coal - lignite ($/ton)</v>
      </c>
      <c r="B5" s="153">
        <f>Input!E9</f>
        <v>6900</v>
      </c>
      <c r="C5" s="151" t="s">
        <v>32</v>
      </c>
      <c r="D5" s="154">
        <f>Input!G9</f>
        <v>0.12</v>
      </c>
      <c r="E5" s="154">
        <f>Input!H9</f>
        <v>0.65</v>
      </c>
      <c r="F5" s="152">
        <f>Input!C9-40</f>
        <v>60</v>
      </c>
      <c r="G5" s="152">
        <f>SUM(F5+5)</f>
        <v>65</v>
      </c>
      <c r="H5" s="152">
        <f aca="true" t="shared" si="0" ref="H5:V5">SUM(G5+5)</f>
        <v>70</v>
      </c>
      <c r="I5" s="152">
        <f t="shared" si="0"/>
        <v>75</v>
      </c>
      <c r="J5" s="152">
        <f t="shared" si="0"/>
        <v>80</v>
      </c>
      <c r="K5" s="152">
        <f t="shared" si="0"/>
        <v>85</v>
      </c>
      <c r="L5" s="152">
        <f t="shared" si="0"/>
        <v>90</v>
      </c>
      <c r="M5" s="152">
        <f t="shared" si="0"/>
        <v>95</v>
      </c>
      <c r="N5" s="152">
        <f t="shared" si="0"/>
        <v>100</v>
      </c>
      <c r="O5" s="152">
        <f t="shared" si="0"/>
        <v>105</v>
      </c>
      <c r="P5" s="152">
        <f t="shared" si="0"/>
        <v>110</v>
      </c>
      <c r="Q5" s="152">
        <f t="shared" si="0"/>
        <v>115</v>
      </c>
      <c r="R5" s="152">
        <f t="shared" si="0"/>
        <v>120</v>
      </c>
      <c r="S5" s="152">
        <f t="shared" si="0"/>
        <v>125</v>
      </c>
      <c r="T5" s="152">
        <f t="shared" si="0"/>
        <v>130</v>
      </c>
      <c r="U5" s="152">
        <f t="shared" si="0"/>
        <v>135</v>
      </c>
      <c r="V5" s="152">
        <f t="shared" si="0"/>
        <v>140</v>
      </c>
    </row>
    <row r="6" spans="1:22" s="94" customFormat="1" ht="19.5" customHeight="1">
      <c r="A6" s="162" t="str">
        <f>Input!B6&amp;" ($/"&amp;Input!D6&amp;")"</f>
        <v>Electricity ($/kWh)</v>
      </c>
      <c r="B6" s="155">
        <f>Input!E6</f>
        <v>3413</v>
      </c>
      <c r="C6" s="156" t="s">
        <v>15</v>
      </c>
      <c r="D6" s="157" t="str">
        <f>Input!G6</f>
        <v>n/a</v>
      </c>
      <c r="E6" s="157">
        <f>Input!H6</f>
        <v>1</v>
      </c>
      <c r="F6" s="164">
        <f>SUM((((B6*E6))/(B5*(E5*(1-D5)))*F5)*1)/2000</f>
        <v>0.025942535725144416</v>
      </c>
      <c r="G6" s="164">
        <f>SUM((((B6*E6))/(B5*(E5*(1-D5)))*G5)*1)/2000</f>
        <v>0.028104413702239785</v>
      </c>
      <c r="H6" s="164">
        <f>SUM((((B6*E6))/(B5*(E5*(1-D5)))*H5)*1)/2000</f>
        <v>0.030266291679335155</v>
      </c>
      <c r="I6" s="164">
        <f>SUM((((B6*E6))/(B5*(E5*(1-D5)))*I5)*1)/2000</f>
        <v>0.03242816965643052</v>
      </c>
      <c r="J6" s="164">
        <f>SUM((((B6*E6))/(B5*(E5*(1-D5)))*J5)*1)/2000</f>
        <v>0.03459004763352589</v>
      </c>
      <c r="K6" s="164">
        <f>SUM((((B6*E6))/(B5*(E5*(1-D5)))*K5)*1)/2000</f>
        <v>0.03675192561062126</v>
      </c>
      <c r="L6" s="165">
        <f>SUM((((B6*E6))/(B5*(E5*(1-D5)))*L5)*1)/2000</f>
        <v>0.03891380358771662</v>
      </c>
      <c r="M6" s="164">
        <f>SUM((((B6*E6))/(B5*(E5*(1-D5)))*M5)*1)/2000</f>
        <v>0.04107568156481199</v>
      </c>
      <c r="N6" s="168">
        <f>SUM((((B6*E6))/(B5*(E5*(1-D5)))*N5)*1)/2000</f>
        <v>0.04323755954190736</v>
      </c>
      <c r="O6" s="165">
        <f>SUM((((B6*E6))/(B5*(E5*(1-D5)))*O5)*1)/2000</f>
        <v>0.04539943751900273</v>
      </c>
      <c r="P6" s="164">
        <f>SUM((((B6*E6))/(B5*(E5*(1-D5)))*P5)*1)/2000</f>
        <v>0.04756131549609809</v>
      </c>
      <c r="Q6" s="164">
        <f>SUM((((B6*E6))/(B5*(E5*(1-D5)))*Q5)*1)/2000</f>
        <v>0.04972319347319347</v>
      </c>
      <c r="R6" s="164">
        <f>SUM((((B6*E6))/(B5*(E5*(1-D5)))*R5)*1)/2000</f>
        <v>0.05188507145028883</v>
      </c>
      <c r="S6" s="164">
        <f>SUM((((B6*E6))/(B5*(E5*(1-D5)))*S5)*1)/2000</f>
        <v>0.0540469494273842</v>
      </c>
      <c r="T6" s="164">
        <f>SUM((((B6*E6))/(B5*(E5*(1-D5)))*T5)*1)/2000</f>
        <v>0.05620882740447957</v>
      </c>
      <c r="U6" s="164">
        <f>SUM((((B6*E6))/(B5*(E5*(1-D5)))*U5)*1)/2000</f>
        <v>0.05837070538157493</v>
      </c>
      <c r="V6" s="164">
        <f>SUM((((B6*E6))/(B5*(E5*(1-D5)))*V5)*1)/2000</f>
        <v>0.06053258335867031</v>
      </c>
    </row>
    <row r="7" spans="1:22" s="94" customFormat="1" ht="19.5" customHeight="1">
      <c r="A7" s="162" t="str">
        <f>Input!B7</f>
        <v>Natural Gas - High Efficiency</v>
      </c>
      <c r="B7" s="155">
        <f>Input!E7</f>
        <v>32843.6</v>
      </c>
      <c r="C7" s="72" t="s">
        <v>41</v>
      </c>
      <c r="D7" s="157" t="str">
        <f>Input!G7</f>
        <v>n/a</v>
      </c>
      <c r="E7" s="157">
        <f>Input!H7</f>
        <v>0.92</v>
      </c>
      <c r="F7" s="95">
        <f>SUM((B7*E7))/(B5*(E5*(1-D5)))*F5/2000</f>
        <v>0.22967552447552445</v>
      </c>
      <c r="G7" s="95">
        <f>SUM((B7*E7))/(B5*(E5*(1-D5)))*G5/2000</f>
        <v>0.2488151515151515</v>
      </c>
      <c r="H7" s="95">
        <f>SUM((B7*E7))/(B5*(E5*(1-D5)))*H5/2000</f>
        <v>0.2679547785547785</v>
      </c>
      <c r="I7" s="95">
        <f>SUM((B7*E7))/(B5*(E5*(1-D5)))*I5/2000</f>
        <v>0.2870944055944055</v>
      </c>
      <c r="J7" s="95">
        <f>SUM((B7*E7))/(B5*(E5*(1-D5)))*J5/2000</f>
        <v>0.3062340326340326</v>
      </c>
      <c r="K7" s="95">
        <f>SUM((B7*E7))/(B5*(E5*(1-D5)))*K5/2000</f>
        <v>0.3253736596736596</v>
      </c>
      <c r="L7" s="95">
        <f>SUM((B7*E7))/(B5*(E5*(1-D5)))*L5/2000</f>
        <v>0.3445132867132867</v>
      </c>
      <c r="M7" s="95">
        <f>SUM((B7*E7))/(B5*(E5*(1-D5)))*M5/2000</f>
        <v>0.36365291375291364</v>
      </c>
      <c r="N7" s="97">
        <f>SUM((B7*E7))/(B5*(E5*(1-D5)))*N5/2000</f>
        <v>0.3827925407925407</v>
      </c>
      <c r="O7" s="96">
        <f>SUM((B7*E7))/(B5*(E5*(1-D5)))*O5/2000</f>
        <v>0.40193216783216773</v>
      </c>
      <c r="P7" s="95">
        <f>SUM((B7*E7))/(B5*(E5*(1-D5)))*P5/2000</f>
        <v>0.4210717948717948</v>
      </c>
      <c r="Q7" s="95">
        <f>SUM((B7*E7))/(B5*(E5*(1-D5)))*Q5/2000</f>
        <v>0.4402114219114218</v>
      </c>
      <c r="R7" s="95">
        <f>SUM((B7*E7))/(B5*(E5*(1-D5)))*R5/2000</f>
        <v>0.4593510489510489</v>
      </c>
      <c r="S7" s="95">
        <f>SUM((B7*E7))/(B5*(E5*(1-D5)))*S5/2000</f>
        <v>0.4784906759906759</v>
      </c>
      <c r="T7" s="95">
        <f>SUM((B7*E7))/(B5*(E5*(1-D5)))*T5/2000</f>
        <v>0.497630303030303</v>
      </c>
      <c r="U7" s="95">
        <f>SUM((B7*E7))/(B5*(E5*(1-D5)))*U5/2000</f>
        <v>0.51676993006993</v>
      </c>
      <c r="V7" s="95">
        <f>SUM((B7*E7))/(B5*(E5*(1-D5)))*V5/2000</f>
        <v>0.535909557109557</v>
      </c>
    </row>
    <row r="8" spans="1:22" s="94" customFormat="1" ht="19.5" customHeight="1">
      <c r="A8" s="162" t="str">
        <f>Input!B8</f>
        <v>Natural Gas - Low Efficiency</v>
      </c>
      <c r="B8" s="155">
        <f>Input!E8</f>
        <v>32843.6</v>
      </c>
      <c r="C8" s="72" t="s">
        <v>41</v>
      </c>
      <c r="D8" s="157" t="str">
        <f>Input!G8</f>
        <v>n/a</v>
      </c>
      <c r="E8" s="157">
        <f>Input!H8</f>
        <v>0.75</v>
      </c>
      <c r="F8" s="95">
        <f>SUM((B8*E8))/(B5*(E5*(1-D5)))*F5/2000</f>
        <v>0.18723548190939487</v>
      </c>
      <c r="G8" s="96">
        <f>SUM((B8*E8))/(B5*(E5*(1-D5)))*G5/2000</f>
        <v>0.2028384387351778</v>
      </c>
      <c r="H8" s="95">
        <f>SUM((B8*E8))/(B5*(E5*(1-D5)))*H5/2000</f>
        <v>0.2184413955609607</v>
      </c>
      <c r="I8" s="95">
        <f>SUM((B8*E8))/(B5*(E5*(1-D5)))*I5/2000</f>
        <v>0.23404435238674362</v>
      </c>
      <c r="J8" s="95">
        <f>SUM((B8*E8))/(B5*(E5*(1-D5)))*J5/2000</f>
        <v>0.24964730921252654</v>
      </c>
      <c r="K8" s="95">
        <f>SUM((B8*E8))/(B5*(E5*(1-D5)))*K5/2000</f>
        <v>0.2652502660383094</v>
      </c>
      <c r="L8" s="95">
        <f>SUM((B8*E8))/(B5*(E5*(1-D5)))*L5/2000</f>
        <v>0.28085322286409237</v>
      </c>
      <c r="M8" s="95">
        <f>SUM((B8*E8))/(B5*(E5*(1-D5)))*M5/2000</f>
        <v>0.29645617968987525</v>
      </c>
      <c r="N8" s="97">
        <f>SUM((B8*E8))/(B5*(E5*(1-D5)))*N5/2000</f>
        <v>0.31205913651565814</v>
      </c>
      <c r="O8" s="96">
        <f>SUM((B8*E8))/(B5*(E5*(1-D5)))*O5/2000</f>
        <v>0.32766209334144103</v>
      </c>
      <c r="P8" s="95">
        <f>SUM((B8*E8))/(B5*(E5*(1-D5)))*P5/2000</f>
        <v>0.343265050167224</v>
      </c>
      <c r="Q8" s="95">
        <f>SUM((B8*E8))/(B5*(E5*(1-D5)))*Q5/2000</f>
        <v>0.35886800699300686</v>
      </c>
      <c r="R8" s="95">
        <f>SUM((B8*E8))/(B5*(E5*(1-D5)))*R5/2000</f>
        <v>0.37447096381878975</v>
      </c>
      <c r="S8" s="95">
        <f>SUM((B8*E8))/(B5*(E5*(1-D5)))*S5/2000</f>
        <v>0.3900739206445727</v>
      </c>
      <c r="T8" s="95">
        <f>SUM((B8*E8))/(B5*(E5*(1-D5)))*T5/2000</f>
        <v>0.4056768774703556</v>
      </c>
      <c r="U8" s="95">
        <f>SUM((B8*E8))/(B5*(E5*(1-D5)))*U5/2000</f>
        <v>0.4212798342961385</v>
      </c>
      <c r="V8" s="95">
        <f>SUM((B8*E8))/(B5*(E5*(1-D5)))*V5/2000</f>
        <v>0.4368827911219214</v>
      </c>
    </row>
    <row r="9" spans="1:22" s="94" customFormat="1" ht="19.5" customHeight="1">
      <c r="A9" s="162" t="str">
        <f>Input!B10&amp;" ($/"&amp;Input!D10&amp;")"</f>
        <v># 2 Diesel Fuel Oil ($/Litre)</v>
      </c>
      <c r="B9" s="155">
        <f>Input!E10</f>
        <v>36984.2</v>
      </c>
      <c r="C9" s="72" t="s">
        <v>42</v>
      </c>
      <c r="D9" s="157" t="str">
        <f>Input!G10</f>
        <v>n/a</v>
      </c>
      <c r="E9" s="157">
        <f>Input!H10</f>
        <v>0.7</v>
      </c>
      <c r="F9" s="95">
        <f>SUM((((B9*E9))/(B5*(E5*(1-D5)))*F5))/2000</f>
        <v>0.19678428093645478</v>
      </c>
      <c r="G9" s="95">
        <f>SUM((((B9*E9))/(B5*(E5*(1-D5)))*G5))/2000</f>
        <v>0.21318297101449268</v>
      </c>
      <c r="H9" s="95">
        <f>SUM((((B9*E9))/(B5*(E5*(1-D5)))*H5))/2000</f>
        <v>0.22958166109253056</v>
      </c>
      <c r="I9" s="95">
        <f>SUM((((B9*E9))/(B5*(E5*(1-D5)))*I5))/2000</f>
        <v>0.24598035117056846</v>
      </c>
      <c r="J9" s="95">
        <f>SUM((((B9*E9))/(B5*(E5*(1-D5)))*J5))/2000</f>
        <v>0.2623790412486064</v>
      </c>
      <c r="K9" s="95">
        <f>SUM((((B9*E9))/(B5*(E5*(1-D5)))*K5))/2000</f>
        <v>0.2787777313266443</v>
      </c>
      <c r="L9" s="95">
        <f>SUM((((B9*E9))/(B5*(E5*(1-D5)))*L5))/2000</f>
        <v>0.2951764214046822</v>
      </c>
      <c r="M9" s="95">
        <f>SUM((((B9*E9))/(B5*(E5*(1-D5)))*M5))/2000</f>
        <v>0.31157511148272005</v>
      </c>
      <c r="N9" s="97">
        <f>SUM((((B9*E9))/(B5*(E5*(1-D5)))*N5))/2000</f>
        <v>0.32797380156075795</v>
      </c>
      <c r="O9" s="96">
        <f>SUM((((B9*E9))/(B5*(E5*(1-D5)))*O5))/2000</f>
        <v>0.34437249163879585</v>
      </c>
      <c r="P9" s="95">
        <f>SUM((((B9*E9))/(B5*(E5*(1-D5)))*P5))/2000</f>
        <v>0.36077118171683376</v>
      </c>
      <c r="Q9" s="95">
        <f>SUM((((B9*E9))/(B5*(E5*(1-D5)))*Q5))/2000</f>
        <v>0.37716987179487166</v>
      </c>
      <c r="R9" s="95">
        <f>SUM((((B9*E9))/(B5*(E5*(1-D5)))*R5))/2000</f>
        <v>0.39356856187290956</v>
      </c>
      <c r="S9" s="95">
        <f>SUM((((B9*E9))/(B5*(E5*(1-D5)))*S5))/2000</f>
        <v>0.40996725195094746</v>
      </c>
      <c r="T9" s="95">
        <f>SUM((((B9*E9))/(B5*(E5*(1-D5)))*T5))/2000</f>
        <v>0.42636594202898537</v>
      </c>
      <c r="U9" s="95">
        <f>SUM((((B9*E9))/(B5*(E5*(1-D5)))*U5))/2000</f>
        <v>0.44276463210702327</v>
      </c>
      <c r="V9" s="95">
        <f>SUM((((B9*E9))/(B5*(E5*(1-D5)))*V5))/2000</f>
        <v>0.4591633221850611</v>
      </c>
    </row>
    <row r="10" spans="1:22" s="94" customFormat="1" ht="19.5" customHeight="1">
      <c r="A10" s="162" t="str">
        <f>Input!B11&amp;" ($/"&amp;Input!D11&amp;")"</f>
        <v>Wheat Straw cubes ($/ton)</v>
      </c>
      <c r="B10" s="155">
        <f>Input!E11</f>
        <v>7713</v>
      </c>
      <c r="C10" s="72" t="s">
        <v>32</v>
      </c>
      <c r="D10" s="157">
        <f>Input!G11</f>
        <v>0.11</v>
      </c>
      <c r="E10" s="157">
        <f>Input!H11</f>
        <v>0.65</v>
      </c>
      <c r="F10" s="98">
        <f>SUM((B10*(E10*(1-D10)))/(B5*(E5*(1-D5))))*F5</f>
        <v>67.83171936758892</v>
      </c>
      <c r="G10" s="98">
        <f>SUM((B10*(E10*(1-D10)))/(B5*(E5*(1-D5))))*G5</f>
        <v>73.48436264822134</v>
      </c>
      <c r="H10" s="98">
        <f>SUM((B10*(E10*(1-D10)))/(B5*(E5*(1-D5))))*H5</f>
        <v>79.13700592885374</v>
      </c>
      <c r="I10" s="98">
        <f>SUM((B10*(E10*(1-D10)))/(B5*(E5*(1-D5))))*I5</f>
        <v>84.78964920948616</v>
      </c>
      <c r="J10" s="98">
        <f>SUM((B10*(E10*(1-D10)))/(B5*(E5*(1-D5))))*J5</f>
        <v>90.44229249011856</v>
      </c>
      <c r="K10" s="98">
        <f>SUM((B10*(E10*(1-D10)))/(B5*(E5*(1-D5))))*K5</f>
        <v>96.09493577075096</v>
      </c>
      <c r="L10" s="98">
        <f>SUM((B10*(E10*(1-D10)))/(B5*(E5*(1-D5))))*L5</f>
        <v>101.74757905138338</v>
      </c>
      <c r="M10" s="98">
        <f>SUM((B10*(E10*(1-D10)))/(B5*(E5*(1-D5))))*M5</f>
        <v>107.40022233201579</v>
      </c>
      <c r="N10" s="100">
        <f>SUM((B10*(E10*(1-D10)))/(B5*(E5*(1-D5))))*N5</f>
        <v>113.0528656126482</v>
      </c>
      <c r="O10" s="99">
        <f>SUM((B10*(E10*(1-D10)))/(B5*(E5*(1-D5))))*O5</f>
        <v>118.70550889328061</v>
      </c>
      <c r="P10" s="98">
        <f>SUM((B10*(E10*(1-D10)))/(B5*(E5*(1-D5))))*P5</f>
        <v>124.35815217391303</v>
      </c>
      <c r="Q10" s="98">
        <f>SUM((B10*(E10*(1-D10)))/(B5*(E5*(1-D5))))*Q5</f>
        <v>130.01079545454544</v>
      </c>
      <c r="R10" s="98">
        <f>SUM((B10*(E10*(1-D10)))/(B5*(E5*(1-D5))))*R5</f>
        <v>135.66343873517783</v>
      </c>
      <c r="S10" s="98">
        <f>SUM((B10*(E10*(1-D10)))/(B5*(E5*(1-D5))))*S5</f>
        <v>141.31608201581025</v>
      </c>
      <c r="T10" s="98">
        <f>SUM((B10*(E10*(1-D10)))/(B5*(E5*(1-D5))))*T5</f>
        <v>146.96872529644267</v>
      </c>
      <c r="U10" s="98">
        <f>SUM((B10*(E10*(1-D10)))/(B5*(E5*(1-D5))))*U5</f>
        <v>152.62136857707506</v>
      </c>
      <c r="V10" s="98">
        <f>SUM((B10*(E10*(1-D10)))/(B5*(E5*(1-D5))))*V5</f>
        <v>158.27401185770748</v>
      </c>
    </row>
    <row r="11" spans="1:22" s="94" customFormat="1" ht="19.5" customHeight="1">
      <c r="A11" s="162" t="str">
        <f>Input!B12&amp;" ($/"&amp;Input!D12&amp;")"</f>
        <v>Flax Straw cubes ($/ton)</v>
      </c>
      <c r="B11" s="155">
        <f>Input!E12</f>
        <v>8587</v>
      </c>
      <c r="C11" s="72" t="s">
        <v>32</v>
      </c>
      <c r="D11" s="157">
        <f>Input!G12</f>
        <v>0.13</v>
      </c>
      <c r="E11" s="157">
        <f>Input!H12</f>
        <v>0.65</v>
      </c>
      <c r="F11" s="98">
        <f>SUM((B11*(E11*(1-D11)))/(B5*(E5*(1-D5))))*F5</f>
        <v>73.82104743083003</v>
      </c>
      <c r="G11" s="98">
        <f>SUM((B11*(E11*(1-D11)))/(B5*(E5*(1-D5))))*G5</f>
        <v>79.97280138339922</v>
      </c>
      <c r="H11" s="98">
        <f>SUM((B11*(E11*(1-D11)))/(B5*(E5*(1-D5))))*H5</f>
        <v>86.12455533596838</v>
      </c>
      <c r="I11" s="98">
        <f>SUM((B11*(E11*(1-D11)))/(B5*(E5*(1-D5))))*I5</f>
        <v>92.27630928853755</v>
      </c>
      <c r="J11" s="98">
        <f>SUM((B11*(E11*(1-D11)))/(B5*(E5*(1-D5))))*J5</f>
        <v>98.42806324110671</v>
      </c>
      <c r="K11" s="98">
        <f>SUM((B11*(E11*(1-D11)))/(B5*(E5*(1-D5))))*K5</f>
        <v>104.5798171936759</v>
      </c>
      <c r="L11" s="98">
        <f>SUM((B11*(E11*(1-D11)))/(B5*(E5*(1-D5))))*L5</f>
        <v>110.73157114624506</v>
      </c>
      <c r="M11" s="98">
        <f>SUM((B11*(E11*(1-D11)))/(B5*(E5*(1-D5))))*M5</f>
        <v>116.88332509881423</v>
      </c>
      <c r="N11" s="100">
        <f>SUM((B11*(E11*(1-D11)))/(B5*(E5*(1-D5))))*N5</f>
        <v>123.0350790513834</v>
      </c>
      <c r="O11" s="99">
        <f>SUM((B11*(E11*(1-D11)))/(B5*(E5*(1-D5))))*O5</f>
        <v>129.18683300395256</v>
      </c>
      <c r="P11" s="98">
        <f>SUM((B11*(E11*(1-D11)))/(B5*(E5*(1-D5))))*P5</f>
        <v>135.33858695652174</v>
      </c>
      <c r="Q11" s="98">
        <f>SUM((B11*(E11*(1-D11)))/(B5*(E5*(1-D5))))*Q5</f>
        <v>141.49034090909092</v>
      </c>
      <c r="R11" s="98">
        <f>SUM((B11*(E11*(1-D11)))/(B5*(E5*(1-D5))))*R5</f>
        <v>147.64209486166007</v>
      </c>
      <c r="S11" s="98">
        <f>SUM((B11*(E11*(1-D11)))/(B5*(E5*(1-D5))))*S5</f>
        <v>153.79384881422925</v>
      </c>
      <c r="T11" s="98">
        <f>SUM((B11*(E11*(1-D11)))/(B5*(E5*(1-D5))))*T5</f>
        <v>159.94560276679843</v>
      </c>
      <c r="U11" s="98">
        <f>SUM((B11*(E11*(1-D11)))/(B5*(E5*(1-D5))))*U5</f>
        <v>166.09735671936758</v>
      </c>
      <c r="V11" s="98">
        <f>SUM((B11*(E11*(1-D11)))/(B5*(E5*(1-D5))))*V5</f>
        <v>172.24911067193676</v>
      </c>
    </row>
    <row r="12" spans="1:22" s="94" customFormat="1" ht="19.5" customHeight="1">
      <c r="A12" s="162" t="str">
        <f>Input!B13&amp;" ($/"&amp;Input!D13&amp;")"</f>
        <v>Switchgrass Biomass cubes ($/ton)</v>
      </c>
      <c r="B12" s="155">
        <f>Input!E13</f>
        <v>7929</v>
      </c>
      <c r="C12" s="72" t="s">
        <v>32</v>
      </c>
      <c r="D12" s="157">
        <f>Input!G13</f>
        <v>0.13</v>
      </c>
      <c r="E12" s="157">
        <f>Input!H13</f>
        <v>0.65</v>
      </c>
      <c r="F12" s="98">
        <f>SUM((B12*(E12*(1-D12)))/(B5*(E5*(1-D5))))*F5</f>
        <v>68.1643280632411</v>
      </c>
      <c r="G12" s="98">
        <f>SUM((B12*(E12*(1-D12)))/(B5*(E5*(1-D5))))*G5</f>
        <v>73.84468873517785</v>
      </c>
      <c r="H12" s="98">
        <f>SUM((B12*(E12*(1-D12)))/(B5*(E5*(1-D5))))*H5</f>
        <v>79.52504940711462</v>
      </c>
      <c r="I12" s="98">
        <f>SUM((B12*(E12*(1-D12)))/(B5*(E5*(1-D5))))*I5</f>
        <v>85.20541007905138</v>
      </c>
      <c r="J12" s="98">
        <f>SUM((B12*(E12*(1-D12)))/(B5*(E5*(1-D5))))*J5</f>
        <v>90.88577075098813</v>
      </c>
      <c r="K12" s="98">
        <f>SUM((B12*(E12*(1-D12)))/(B5*(E5*(1-D5))))*K5</f>
        <v>96.5661314229249</v>
      </c>
      <c r="L12" s="98">
        <f>SUM((B12*(E12*(1-D12)))/(B5*(E5*(1-D5))))*L5</f>
        <v>102.24649209486165</v>
      </c>
      <c r="M12" s="98">
        <f>SUM((B12*(E12*(1-D12)))/(B5*(E5*(1-D5))))*M5</f>
        <v>107.9268527667984</v>
      </c>
      <c r="N12" s="100">
        <f>SUM((B12*(E12*(1-D12)))/(B5*(E5*(1-D5))))*N5</f>
        <v>113.60721343873517</v>
      </c>
      <c r="O12" s="99">
        <f>SUM((B12*(E12*(1-D12)))/(B5*(E5*(1-D5))))*O5</f>
        <v>119.28757411067193</v>
      </c>
      <c r="P12" s="98">
        <f>SUM((B12*(E12*(1-D12)))/(B5*(E5*(1-D5))))*P5</f>
        <v>124.96793478260868</v>
      </c>
      <c r="Q12" s="98">
        <f>SUM((B12*(E12*(1-D12)))/(B5*(E5*(1-D5))))*Q5</f>
        <v>130.64829545454543</v>
      </c>
      <c r="R12" s="98">
        <f>SUM((B12*(E12*(1-D12)))/(B5*(E5*(1-D5))))*R5</f>
        <v>136.3286561264822</v>
      </c>
      <c r="S12" s="98">
        <f>SUM((B12*(E12*(1-D12)))/(B5*(E5*(1-D5))))*S5</f>
        <v>142.00901679841897</v>
      </c>
      <c r="T12" s="98">
        <f>SUM((B12*(E12*(1-D12)))/(B5*(E5*(1-D5))))*T5</f>
        <v>147.6893774703557</v>
      </c>
      <c r="U12" s="98">
        <f>SUM((B12*(E12*(1-D12)))/(B5*(E5*(1-D5))))*U5</f>
        <v>153.36973814229248</v>
      </c>
      <c r="V12" s="98">
        <f>SUM((B12*(E12*(1-D12)))/(B5*(E5*(1-D5))))*V5</f>
        <v>159.05009881422924</v>
      </c>
    </row>
    <row r="13" spans="1:22" s="94" customFormat="1" ht="19.5" customHeight="1">
      <c r="A13" s="162" t="str">
        <f>Input!B14&amp;" ($/"&amp;Input!D14&amp;")"</f>
        <v>Hemp Biomass cubes ($/ton)</v>
      </c>
      <c r="B13" s="155">
        <f>Input!E14</f>
        <v>8289</v>
      </c>
      <c r="C13" s="72" t="s">
        <v>32</v>
      </c>
      <c r="D13" s="157">
        <f>Input!G14</f>
        <v>0.12</v>
      </c>
      <c r="E13" s="157">
        <f>Input!H14</f>
        <v>0.65</v>
      </c>
      <c r="F13" s="98">
        <f>SUM((B13*(E13*(1-D13)))/(B5*(E5*(1-D5))))*F5</f>
        <v>72.07826086956521</v>
      </c>
      <c r="G13" s="98">
        <f>SUM((B13*(E13*(1-D13)))/(B5*(E5*(1-D5))))*G5</f>
        <v>78.08478260869565</v>
      </c>
      <c r="H13" s="98">
        <f>SUM((B13*(E13*(1-D13)))/(B5*(E5*(1-D5))))*H5</f>
        <v>84.09130434782608</v>
      </c>
      <c r="I13" s="98">
        <f>SUM((B13*(E13*(1-D13)))/(B5*(E5*(1-D5))))*I5</f>
        <v>90.09782608695652</v>
      </c>
      <c r="J13" s="98">
        <f>SUM((B13*(E13*(1-D13)))/(B5*(E5*(1-D5))))*J5</f>
        <v>96.10434782608695</v>
      </c>
      <c r="K13" s="98">
        <f>SUM((B13*(E13*(1-D13)))/(B5*(E5*(1-D5))))*K5</f>
        <v>102.1108695652174</v>
      </c>
      <c r="L13" s="98">
        <f>SUM((B13*(E13*(1-D13)))/(B5*(E5*(1-D5))))*L5</f>
        <v>108.11739130434783</v>
      </c>
      <c r="M13" s="98">
        <f>SUM((B13*(E13*(1-D13)))/(B5*(E5*(1-D5))))*M5</f>
        <v>114.12391304347827</v>
      </c>
      <c r="N13" s="100">
        <f>SUM((B13*(E13*(1-D13)))/(B5*(E5*(1-D5))))*N5</f>
        <v>120.1304347826087</v>
      </c>
      <c r="O13" s="99">
        <f>SUM((B13*(E13*(1-D13)))/(B5*(E5*(1-D5))))*O5</f>
        <v>126.13695652173914</v>
      </c>
      <c r="P13" s="98">
        <f>SUM((B13*(E13*(1-D13)))/(B5*(E5*(1-D5))))*P5</f>
        <v>132.14347826086956</v>
      </c>
      <c r="Q13" s="98">
        <f>SUM((B13*(E13*(1-D13)))/(B5*(E5*(1-D5))))*Q5</f>
        <v>138.15</v>
      </c>
      <c r="R13" s="98">
        <f>SUM((B13*(E13*(1-D13)))/(B5*(E5*(1-D5))))*R5</f>
        <v>144.15652173913043</v>
      </c>
      <c r="S13" s="98">
        <f>SUM((B13*(E13*(1-D13)))/(B5*(E5*(1-D5))))*S5</f>
        <v>150.16304347826087</v>
      </c>
      <c r="T13" s="98">
        <f>SUM((B13*(E13*(1-D13)))/(B5*(E5*(1-D5))))*T5</f>
        <v>156.1695652173913</v>
      </c>
      <c r="U13" s="98">
        <f>SUM((B13*(E13*(1-D13)))/(B5*(E5*(1-D5))))*U5</f>
        <v>162.17608695652174</v>
      </c>
      <c r="V13" s="98">
        <f>SUM((B13*(E13*(1-D13)))/(B5*(E5*(1-D5))))*V5</f>
        <v>168.18260869565216</v>
      </c>
    </row>
    <row r="14" spans="1:22" s="94" customFormat="1" ht="19.5" customHeight="1">
      <c r="A14" s="162" t="str">
        <f>Input!B15&amp;" ($/"&amp;Input!D15&amp;")"</f>
        <v>Willow Biomass  ($/ton)</v>
      </c>
      <c r="B14" s="155">
        <f>Input!E15</f>
        <v>7739</v>
      </c>
      <c r="C14" s="72" t="s">
        <v>32</v>
      </c>
      <c r="D14" s="157">
        <f>Input!G15</f>
        <v>0.2</v>
      </c>
      <c r="E14" s="157">
        <f>Input!H15</f>
        <v>0.65</v>
      </c>
      <c r="F14" s="98">
        <f>SUM((B14*(E14*(1-D14)))/(B5*(E5*(1-D5))))*F5</f>
        <v>61.17786561264821</v>
      </c>
      <c r="G14" s="98">
        <f>SUM((B14*(E14*(1-D14)))/(B5*(E5*(1-D5))))*G5</f>
        <v>66.27602108036889</v>
      </c>
      <c r="H14" s="98">
        <f>SUM((B14*(E14*(1-D14)))/(B5*(E5*(1-D5))))*H5</f>
        <v>71.37417654808958</v>
      </c>
      <c r="I14" s="98">
        <f>SUM((B14*(E14*(1-D14)))/(B5*(E5*(1-D5))))*I5</f>
        <v>76.47233201581027</v>
      </c>
      <c r="J14" s="98">
        <f>SUM((B14*(E14*(1-D14)))/(B5*(E5*(1-D5))))*J5</f>
        <v>81.57048748353094</v>
      </c>
      <c r="K14" s="98">
        <f>SUM((B14*(E14*(1-D14)))/(B5*(E5*(1-D5))))*K5</f>
        <v>86.66864295125163</v>
      </c>
      <c r="L14" s="98">
        <f>SUM((B14*(E14*(1-D14)))/(B5*(E5*(1-D5))))*L5</f>
        <v>91.76679841897231</v>
      </c>
      <c r="M14" s="98">
        <f>SUM((B14*(E14*(1-D14)))/(B5*(E5*(1-D5))))*M5</f>
        <v>96.864953886693</v>
      </c>
      <c r="N14" s="100">
        <f>SUM((B14*(E14*(1-D14)))/(B5*(E5*(1-D5))))*N5</f>
        <v>101.96310935441369</v>
      </c>
      <c r="O14" s="99">
        <f>SUM((B14*(E14*(1-D14)))/(B5*(E5*(1-D5))))*O5</f>
        <v>107.06126482213436</v>
      </c>
      <c r="P14" s="98">
        <f>SUM((B14*(E14*(1-D14)))/(B5*(E5*(1-D5))))*P5</f>
        <v>112.15942028985505</v>
      </c>
      <c r="Q14" s="98">
        <f>SUM((B14*(E14*(1-D14)))/(B5*(E5*(1-D5))))*Q5</f>
        <v>117.25757575757574</v>
      </c>
      <c r="R14" s="98">
        <f>SUM((B14*(E14*(1-D14)))/(B5*(E5*(1-D5))))*R5</f>
        <v>122.35573122529642</v>
      </c>
      <c r="S14" s="98">
        <f>SUM((B14*(E14*(1-D14)))/(B5*(E5*(1-D5))))*S5</f>
        <v>127.45388669301711</v>
      </c>
      <c r="T14" s="98">
        <f>SUM((B14*(E14*(1-D14)))/(B5*(E5*(1-D5))))*T5</f>
        <v>132.55204216073778</v>
      </c>
      <c r="U14" s="98">
        <f>SUM((B14*(E14*(1-D14)))/(B5*(E5*(1-D5))))*U5</f>
        <v>137.65019762845847</v>
      </c>
      <c r="V14" s="98">
        <f>SUM((B14*(E14*(1-D14)))/(B5*(E5*(1-D5))))*V5</f>
        <v>142.74835309617916</v>
      </c>
    </row>
    <row r="15" spans="1:22" s="94" customFormat="1" ht="19.5" customHeight="1">
      <c r="A15" s="162" t="str">
        <f>Input!B16&amp;" ($/"&amp;Input!D16&amp;")"</f>
        <v>Sunflower Hulls  ($/ton)</v>
      </c>
      <c r="B15" s="155">
        <f>Input!E16</f>
        <v>7491</v>
      </c>
      <c r="C15" s="72" t="s">
        <v>32</v>
      </c>
      <c r="D15" s="157">
        <f>Input!G16</f>
        <v>0.1</v>
      </c>
      <c r="E15" s="157">
        <f>Input!H16</f>
        <v>0.65</v>
      </c>
      <c r="F15" s="98">
        <f>SUM((B15*(E15*(1-D15)))/(B5*(E5*(1-D5))))*F5</f>
        <v>66.6195652173913</v>
      </c>
      <c r="G15" s="98">
        <f>SUM((B15*(E15*(1-D15)))/(B5*(E5*(1-D5))))*G5</f>
        <v>72.1711956521739</v>
      </c>
      <c r="H15" s="98">
        <f>SUM((B15*(E15*(1-D15)))/(B5*(E5*(1-D5))))*H5</f>
        <v>77.72282608695652</v>
      </c>
      <c r="I15" s="98">
        <f>SUM((B15*(E15*(1-D15)))/(B5*(E5*(1-D5))))*I5</f>
        <v>83.27445652173913</v>
      </c>
      <c r="J15" s="98">
        <f>SUM((B15*(E15*(1-D15)))/(B5*(E5*(1-D5))))*J5</f>
        <v>88.82608695652173</v>
      </c>
      <c r="K15" s="98">
        <f>SUM((B15*(E15*(1-D15)))/(B5*(E5*(1-D5))))*K5</f>
        <v>94.37771739130434</v>
      </c>
      <c r="L15" s="98">
        <f>SUM((B15*(E15*(1-D15)))/(B5*(E5*(1-D5))))*L5</f>
        <v>99.92934782608695</v>
      </c>
      <c r="M15" s="98">
        <f>SUM((B15*(E15*(1-D15)))/(B5*(E5*(1-D5))))*M5</f>
        <v>105.48097826086956</v>
      </c>
      <c r="N15" s="100">
        <f>SUM((B15*(E15*(1-D15)))/(B5*(E5*(1-D5))))*N5</f>
        <v>111.03260869565217</v>
      </c>
      <c r="O15" s="99">
        <f>SUM((B15*(E15*(1-D15)))/(B5*(E5*(1-D5))))*O5</f>
        <v>116.58423913043478</v>
      </c>
      <c r="P15" s="98">
        <f>SUM((B15*(E15*(1-D15)))/(B5*(E5*(1-D5))))*P5</f>
        <v>122.13586956521739</v>
      </c>
      <c r="Q15" s="98">
        <f>SUM((B15*(E15*(1-D15)))/(B5*(E5*(1-D5))))*Q5</f>
        <v>127.6875</v>
      </c>
      <c r="R15" s="98">
        <f>SUM((B15*(E15*(1-D15)))/(B5*(E5*(1-D5))))*R5</f>
        <v>133.2391304347826</v>
      </c>
      <c r="S15" s="98">
        <f>SUM((B15*(E15*(1-D15)))/(B5*(E5*(1-D5))))*S5</f>
        <v>138.79076086956522</v>
      </c>
      <c r="T15" s="98">
        <f>SUM((B15*(E15*(1-D15)))/(B5*(E5*(1-D5))))*T5</f>
        <v>144.3423913043478</v>
      </c>
      <c r="U15" s="98">
        <f>SUM((B15*(E15*(1-D15)))/(B5*(E5*(1-D5))))*U5</f>
        <v>149.89402173913044</v>
      </c>
      <c r="V15" s="98">
        <f>SUM((B15*(E15*(1-D15)))/(B5*(E5*(1-D5))))*V5</f>
        <v>155.44565217391303</v>
      </c>
    </row>
    <row r="16" spans="1:22" s="142" customFormat="1" ht="19.5" customHeight="1">
      <c r="A16" s="162" t="str">
        <f>Input!B17&amp;" ($/"&amp;Input!D17&amp;")"</f>
        <v>Oat Hull Pellets  ($/ton)</v>
      </c>
      <c r="B16" s="155">
        <f>Input!E17</f>
        <v>7732</v>
      </c>
      <c r="C16" s="140" t="s">
        <v>32</v>
      </c>
      <c r="D16" s="157">
        <f>Input!G17</f>
        <v>0.08</v>
      </c>
      <c r="E16" s="157">
        <f>Input!H17</f>
        <v>0.65</v>
      </c>
      <c r="F16" s="141">
        <f>SUM((B16*(E16*(1-D16)))/(B5*(E5*(1-D5))))*F5</f>
        <v>70.2909090909091</v>
      </c>
      <c r="G16" s="141">
        <f>SUM((B16*(E16*(1-D16)))/(B5*(E5*(1-D5))))*G5</f>
        <v>76.14848484848486</v>
      </c>
      <c r="H16" s="141">
        <f>SUM((B16*(E16*(1-D16)))/(B5*(E5*(1-D5))))*H5</f>
        <v>82.00606060606061</v>
      </c>
      <c r="I16" s="141">
        <f>SUM((B16*(E16*(1-D16)))/(B5*(E5*(1-D5))))*I5</f>
        <v>87.86363636363637</v>
      </c>
      <c r="J16" s="141">
        <f>SUM((B16*(E16*(1-D16)))/(B5*(E5*(1-D5))))*J5</f>
        <v>93.72121212121213</v>
      </c>
      <c r="K16" s="141">
        <f>SUM((B16*(E16*(1-D16)))/(B5*(E5*(1-D5))))*K5</f>
        <v>99.57878787878789</v>
      </c>
      <c r="L16" s="141">
        <f>SUM((B16*(E16*(1-D16)))/(B5*(E5*(1-D5))))*L5</f>
        <v>105.43636363636365</v>
      </c>
      <c r="M16" s="141">
        <f>SUM((B16*(E16*(1-D16)))/(B5*(E5*(1-D5))))*M5</f>
        <v>111.29393939393941</v>
      </c>
      <c r="N16" s="143">
        <f>SUM((B16*(E16*(1-D16)))/(B5*(E5*(1-D5))))*N5</f>
        <v>117.15151515151516</v>
      </c>
      <c r="O16" s="141">
        <f>SUM((B16*(E16*(1-D16)))/(B5*(E5*(1-D5))))*O5</f>
        <v>123.00909090909092</v>
      </c>
      <c r="P16" s="141">
        <f>SUM((B16*(E16*(1-D16)))/(B5*(E5*(1-D5))))*P5</f>
        <v>128.86666666666667</v>
      </c>
      <c r="Q16" s="141">
        <f>SUM((B16*(E16*(1-D16)))/(B5*(E5*(1-D5))))*Q5</f>
        <v>134.72424242424245</v>
      </c>
      <c r="R16" s="141">
        <f>SUM((B16*(E16*(1-D16)))/(B5*(E5*(1-D5))))*R5</f>
        <v>140.5818181818182</v>
      </c>
      <c r="S16" s="141">
        <f>SUM((B16*(E16*(1-D16)))/(B5*(E5*(1-D5))))*S5</f>
        <v>146.43939393939397</v>
      </c>
      <c r="T16" s="141">
        <f>SUM((B16*(E16*(1-D16)))/(B5*(E5*(1-D5))))*T5</f>
        <v>152.2969696969697</v>
      </c>
      <c r="U16" s="141">
        <f>SUM((B16*(E16*(1-D16)))/(B5*(E5*(1-D5))))*U5</f>
        <v>158.15454545454546</v>
      </c>
      <c r="V16" s="141">
        <f>SUM((B16*(E16*(1-D16)))/(B5*(E5*(1-D5))))*V5</f>
        <v>164.01212121212123</v>
      </c>
    </row>
    <row r="17" spans="1:22" s="94" customFormat="1" ht="19.5" customHeight="1">
      <c r="A17" s="162" t="str">
        <f>Input!B18&amp;" ($/"&amp;Input!D18&amp;")"</f>
        <v>Wood Pellets #1 ($/ton)</v>
      </c>
      <c r="B17" s="155">
        <f>Input!E18</f>
        <v>8200</v>
      </c>
      <c r="C17" s="72" t="s">
        <v>32</v>
      </c>
      <c r="D17" s="157">
        <f>Input!G18</f>
        <v>0.05</v>
      </c>
      <c r="E17" s="157">
        <f>Input!H18</f>
        <v>0.65</v>
      </c>
      <c r="F17" s="98">
        <f>SUM((B17*(E17*(1-D17)))/(B5*(E5*(1-D5))))*F5</f>
        <v>76.97628458498022</v>
      </c>
      <c r="G17" s="98">
        <f>SUM((B17*(E17*(1-D17)))/(B5*(E5*(1-D5))))*G5</f>
        <v>83.39097496706191</v>
      </c>
      <c r="H17" s="98">
        <f>SUM((B17*(E17*(1-D17)))/(B5*(E5*(1-D5))))*H5</f>
        <v>89.80566534914358</v>
      </c>
      <c r="I17" s="98">
        <f>SUM((B17*(E17*(1-D17)))/(B5*(E5*(1-D5))))*I5</f>
        <v>96.22035573122527</v>
      </c>
      <c r="J17" s="98">
        <f>SUM((B17*(E17*(1-D17)))/(B5*(E5*(1-D5))))*J5</f>
        <v>102.63504611330696</v>
      </c>
      <c r="K17" s="98">
        <f>SUM((B17*(E17*(1-D17)))/(B5*(E5*(1-D5))))*K5</f>
        <v>109.04973649538864</v>
      </c>
      <c r="L17" s="98">
        <f>SUM((B17*(E17*(1-D17)))/(B5*(E5*(1-D5))))*L5</f>
        <v>115.46442687747033</v>
      </c>
      <c r="M17" s="98">
        <f>SUM((B17*(E17*(1-D17)))/(B5*(E5*(1-D5))))*M5</f>
        <v>121.879117259552</v>
      </c>
      <c r="N17" s="100">
        <f>SUM((B17*(E17*(1-D17)))/(B5*(E5*(1-D5))))*N5</f>
        <v>128.2938076416337</v>
      </c>
      <c r="O17" s="99">
        <f>SUM((B17*(E17*(1-D17)))/(B5*(E5*(1-D5))))*O5</f>
        <v>134.70849802371538</v>
      </c>
      <c r="P17" s="98">
        <f>SUM((B17*(E17*(1-D17)))/(B5*(E5*(1-D5))))*P5</f>
        <v>141.12318840579707</v>
      </c>
      <c r="Q17" s="98">
        <f>SUM((B17*(E17*(1-D17)))/(B5*(E5*(1-D5))))*Q5</f>
        <v>147.53787878787875</v>
      </c>
      <c r="R17" s="98">
        <f>SUM((B17*(E17*(1-D17)))/(B5*(E5*(1-D5))))*R5</f>
        <v>153.95256916996044</v>
      </c>
      <c r="S17" s="98">
        <f>SUM((B17*(E17*(1-D17)))/(B5*(E5*(1-D5))))*S5</f>
        <v>160.36725955204213</v>
      </c>
      <c r="T17" s="98">
        <f>SUM((B17*(E17*(1-D17)))/(B5*(E5*(1-D5))))*T5</f>
        <v>166.78194993412382</v>
      </c>
      <c r="U17" s="98">
        <f>SUM((B17*(E17*(1-D17)))/(B5*(E5*(1-D5))))*U5</f>
        <v>173.19664031620547</v>
      </c>
      <c r="V17" s="98">
        <f>SUM((B17*(E17*(1-D17)))/(B5*(E5*(1-D5))))*V5</f>
        <v>179.61133069828716</v>
      </c>
    </row>
    <row r="18" spans="1:22" s="94" customFormat="1" ht="19.5" customHeight="1">
      <c r="A18" s="162" t="str">
        <f>Input!B19&amp;" ($/"&amp;Input!D19&amp;")"</f>
        <v>Recycled Fuel Pucks ($/ton)</v>
      </c>
      <c r="B18" s="155">
        <f>Input!E19</f>
        <v>8000</v>
      </c>
      <c r="C18" s="72" t="s">
        <v>32</v>
      </c>
      <c r="D18" s="157">
        <f>Input!G19</f>
        <v>0.05</v>
      </c>
      <c r="E18" s="157">
        <f>Input!H19</f>
        <v>0.65</v>
      </c>
      <c r="F18" s="98">
        <f>SUM((B18*(E18*(1-D18)))/(B5*(E5*(1-D5))))*F5</f>
        <v>75.09881422924899</v>
      </c>
      <c r="G18" s="98">
        <f>SUM((B18*(E18*(1-D18)))/(B5*(E5*(1-D5))))*G5</f>
        <v>81.35704874835307</v>
      </c>
      <c r="H18" s="98">
        <f>SUM((B18*(E18*(1-D18)))/(B5*(E5*(1-D5))))*H5</f>
        <v>87.61528326745716</v>
      </c>
      <c r="I18" s="98">
        <f>SUM((B18*(E18*(1-D18)))/(B5*(E5*(1-D5))))*I5</f>
        <v>93.87351778656124</v>
      </c>
      <c r="J18" s="98">
        <f>SUM((B18*(E18*(1-D18)))/(B5*(E5*(1-D5))))*J5</f>
        <v>100.13175230566532</v>
      </c>
      <c r="K18" s="98">
        <f>SUM((B18*(E18*(1-D18)))/(B5*(E5*(1-D5))))*K5</f>
        <v>106.3899868247694</v>
      </c>
      <c r="L18" s="98">
        <f>SUM((B18*(E18*(1-D18)))/(B5*(E5*(1-D5))))*L5</f>
        <v>112.64822134387347</v>
      </c>
      <c r="M18" s="98">
        <f>SUM((B18*(E18*(1-D18)))/(B5*(E5*(1-D5))))*M5</f>
        <v>118.90645586297757</v>
      </c>
      <c r="N18" s="100">
        <f>SUM((B18*(E18*(1-D18)))/(B5*(E5*(1-D5))))*N5</f>
        <v>125.16469038208164</v>
      </c>
      <c r="O18" s="99">
        <f>SUM((B18*(E18*(1-D18)))/(B5*(E5*(1-D5))))*O5</f>
        <v>131.42292490118572</v>
      </c>
      <c r="P18" s="98">
        <f>SUM((B18*(E18*(1-D18)))/(B5*(E5*(1-D5))))*P5</f>
        <v>137.68115942028982</v>
      </c>
      <c r="Q18" s="98">
        <f>SUM((B18*(E18*(1-D18)))/(B5*(E5*(1-D5))))*Q5</f>
        <v>143.93939393939388</v>
      </c>
      <c r="R18" s="98">
        <f>SUM((B18*(E18*(1-D18)))/(B5*(E5*(1-D5))))*R5</f>
        <v>150.19762845849797</v>
      </c>
      <c r="S18" s="98">
        <f>SUM((B18*(E18*(1-D18)))/(B5*(E5*(1-D5))))*S5</f>
        <v>156.45586297760207</v>
      </c>
      <c r="T18" s="98">
        <f>SUM((B18*(E18*(1-D18)))/(B5*(E5*(1-D5))))*T5</f>
        <v>162.71409749670613</v>
      </c>
      <c r="U18" s="98">
        <f>SUM((B18*(E18*(1-D18)))/(B5*(E5*(1-D5))))*U5</f>
        <v>168.97233201581022</v>
      </c>
      <c r="V18" s="98">
        <f>SUM((B18*(E18*(1-D18)))/(B5*(E5*(1-D5))))*V5</f>
        <v>175.23056653491432</v>
      </c>
    </row>
    <row r="19" spans="1:22" s="94" customFormat="1" ht="19.5" customHeight="1">
      <c r="A19" s="162" t="str">
        <f>Input!B20&amp;" ($/"&amp;Input!D20&amp;")"</f>
        <v>Wheat HRS (60lb) ($/bushel)</v>
      </c>
      <c r="B19" s="155">
        <f>Input!E20</f>
        <v>8700</v>
      </c>
      <c r="C19" s="72" t="s">
        <v>32</v>
      </c>
      <c r="D19" s="157">
        <f>Input!G20</f>
        <v>0.135</v>
      </c>
      <c r="E19" s="157">
        <f>Input!H20</f>
        <v>0.65</v>
      </c>
      <c r="F19" s="95">
        <f>SUM((((B19*(E19*(1-D19)))/(B5*(E5*(1-D5))))*F5)/2000)*60</f>
        <v>2.2308794466403157</v>
      </c>
      <c r="G19" s="95">
        <f>SUM((((B19*(E19*(1-D19)))/(B5*(E5*(1-D5))))*G5)/2000)*60</f>
        <v>2.4167860671936756</v>
      </c>
      <c r="H19" s="95">
        <f>SUM((((B19*(E19*(1-D19)))/(B5*(E5*(1-D5))))*H5)/2000)*60</f>
        <v>2.602692687747035</v>
      </c>
      <c r="I19" s="95">
        <f>SUM((((B19*(E19*(1-D19)))/(B5*(E5*(1-D5))))*I5)/2000)*60</f>
        <v>2.788599308300395</v>
      </c>
      <c r="J19" s="95">
        <f>SUM((((B19*(E19*(1-D19)))/(B5*(E5*(1-D5))))*J5)/2000)*60</f>
        <v>2.974505928853754</v>
      </c>
      <c r="K19" s="95">
        <f>SUM((((B19*(E19*(1-D19)))/(B5*(E5*(1-D5))))*K5)/2000)*60</f>
        <v>3.1604125494071136</v>
      </c>
      <c r="L19" s="95">
        <f>SUM((((B19*(E19*(1-D19)))/(B5*(E5*(1-D5))))*L5)/2000)*60</f>
        <v>3.3463191699604735</v>
      </c>
      <c r="M19" s="95">
        <f>SUM((((B19*(E19*(1-D19)))/(B5*(E5*(1-D5))))*M5)/2000)*60</f>
        <v>3.5322257905138335</v>
      </c>
      <c r="N19" s="97">
        <f>SUM((((B19*(E19*(1-D19)))/(B5*(E5*(1-D5))))*N5)/2000)*60</f>
        <v>3.718132411067193</v>
      </c>
      <c r="O19" s="96">
        <f>SUM((((B19*(E19*(1-D19)))/(B5*(E5*(1-D5))))*O5)/2000)*60</f>
        <v>3.904039031620553</v>
      </c>
      <c r="P19" s="95">
        <f>SUM((((B19*(E19*(1-D19)))/(B5*(E5*(1-D5))))*P5)/2000)*60</f>
        <v>4.089945652173912</v>
      </c>
      <c r="Q19" s="95">
        <f>SUM((((B19*(E19*(1-D19)))/(B5*(E5*(1-D5))))*Q5)/2000)*60</f>
        <v>4.275852272727271</v>
      </c>
      <c r="R19" s="95">
        <f>SUM((((B19*(E19*(1-D19)))/(B5*(E5*(1-D5))))*R5)/2000)*60</f>
        <v>4.461758893280631</v>
      </c>
      <c r="S19" s="95">
        <f>SUM((((B19*(E19*(1-D19)))/(B5*(E5*(1-D5))))*S5)/2000)*60</f>
        <v>4.647665513833991</v>
      </c>
      <c r="T19" s="95">
        <f>SUM((((B19*(E19*(1-D19)))/(B5*(E5*(1-D5))))*T5)/2000)*60</f>
        <v>4.833572134387351</v>
      </c>
      <c r="U19" s="95">
        <f>SUM((((B19*(E19*(1-D19)))/(B5*(E5*(1-D5))))*U5)/2000)*60</f>
        <v>5.019478754940711</v>
      </c>
      <c r="V19" s="95">
        <f>SUM((((B19*(E19*(1-D19)))/(B5*(E5*(1-D5))))*V5)/2000)*60</f>
        <v>5.20538537549407</v>
      </c>
    </row>
    <row r="20" spans="1:22" s="94" customFormat="1" ht="19.5" customHeight="1">
      <c r="A20" s="162" t="str">
        <f>Input!B21&amp;" ($/"&amp;Input!D21&amp;")"</f>
        <v>Oats (34 lb) ($/bushel)</v>
      </c>
      <c r="B20" s="155">
        <f>Input!E21</f>
        <v>8242</v>
      </c>
      <c r="C20" s="72" t="s">
        <v>32</v>
      </c>
      <c r="D20" s="157">
        <f>Input!G21</f>
        <v>0.125</v>
      </c>
      <c r="E20" s="157">
        <f>Input!H21</f>
        <v>0.65</v>
      </c>
      <c r="F20" s="95">
        <f>SUM((((B20*(E20*(1-D20)))/(B5*(E5*(1-D5))))*F5)/2000)*34</f>
        <v>1.211459980237154</v>
      </c>
      <c r="G20" s="95">
        <f>SUM((((B20*(E20*(1-D20)))/(B5*(E5*(1-D5))))*G5)/2000)*34</f>
        <v>1.3124149785902501</v>
      </c>
      <c r="H20" s="95">
        <f>SUM((((B20*(E20*(1-D20)))/(B5*(E5*(1-D5))))*H5)/2000)*34</f>
        <v>1.4133699769433463</v>
      </c>
      <c r="I20" s="95">
        <f>SUM((((B20*(E20*(1-D20)))/(B5*(E5*(1-D5))))*I5)/2000)*34</f>
        <v>1.5143249752964425</v>
      </c>
      <c r="J20" s="95">
        <f>SUM((((B20*(E20*(1-D20)))/(B5*(E5*(1-D5))))*J5)/2000)*34</f>
        <v>1.6152799736495382</v>
      </c>
      <c r="K20" s="95">
        <f>SUM((((B20*(E20*(1-D20)))/(B5*(E5*(1-D5))))*K5)/2000)*34</f>
        <v>1.7162349720026346</v>
      </c>
      <c r="L20" s="95">
        <f>SUM((((B20*(E20*(1-D20)))/(B5*(E5*(1-D5))))*L5)/2000)*34</f>
        <v>1.8171899703557306</v>
      </c>
      <c r="M20" s="95">
        <f>SUM((((B20*(E20*(1-D20)))/(B5*(E5*(1-D5))))*M5)/2000)*34</f>
        <v>1.918144968708827</v>
      </c>
      <c r="N20" s="97">
        <f>SUM((((B20*(E20*(1-D20)))/(B5*(E5*(1-D5))))*N5)/2000)*34</f>
        <v>2.019099967061923</v>
      </c>
      <c r="O20" s="96">
        <f>SUM((((B20*(E20*(1-D20)))/(B5*(E5*(1-D5))))*O5)/2000)*34</f>
        <v>2.120054965415019</v>
      </c>
      <c r="P20" s="95">
        <f>SUM((((B20*(E20*(1-D20)))/(B5*(E5*(1-D5))))*P5)/2000)*34</f>
        <v>2.221009963768115</v>
      </c>
      <c r="Q20" s="95">
        <f>SUM((((B20*(E20*(1-D20)))/(B5*(E5*(1-D5))))*Q5)/2000)*34</f>
        <v>2.321964962121212</v>
      </c>
      <c r="R20" s="95">
        <f>SUM((((B20*(E20*(1-D20)))/(B5*(E5*(1-D5))))*R5)/2000)*34</f>
        <v>2.422919960474308</v>
      </c>
      <c r="S20" s="95">
        <f>SUM((((B20*(E20*(1-D20)))/(B5*(E5*(1-D5))))*S5)/2000)*34</f>
        <v>2.523874958827404</v>
      </c>
      <c r="T20" s="95">
        <f>SUM((((B20*(E20*(1-D20)))/(B5*(E5*(1-D5))))*T5)/2000)*34</f>
        <v>2.6248299571805003</v>
      </c>
      <c r="U20" s="95">
        <f>SUM((((B20*(E20*(1-D20)))/(B5*(E5*(1-D5))))*U5)/2000)*34</f>
        <v>2.7257849555335962</v>
      </c>
      <c r="V20" s="95">
        <f>SUM((((B20*(E20*(1-D20)))/(B5*(E5*(1-D5))))*V5)/2000)*34</f>
        <v>2.8267399538866926</v>
      </c>
    </row>
    <row r="21" spans="1:22" s="94" customFormat="1" ht="19.5" customHeight="1">
      <c r="A21" s="162" t="str">
        <f>Input!B22&amp;" ($/"&amp;Input!D22&amp;")"</f>
        <v>Barley (48 lb) ($/bushel)</v>
      </c>
      <c r="B21" s="155">
        <f>Input!E22</f>
        <v>8200</v>
      </c>
      <c r="C21" s="72" t="s">
        <v>32</v>
      </c>
      <c r="D21" s="157">
        <f>Input!G22</f>
        <v>0.125</v>
      </c>
      <c r="E21" s="157">
        <f>Input!H22</f>
        <v>0.65</v>
      </c>
      <c r="F21" s="95">
        <f>SUM((((B21*(E21*(1-D21)))/(B5*(E5*(1-D5))))*F5)/2000)*48</f>
        <v>1.7015810276679837</v>
      </c>
      <c r="G21" s="95">
        <f>SUM((((B21*(E21*(1-D21)))/(B5*(E5*(1-D5))))*G5)/2000)*48</f>
        <v>1.8433794466403155</v>
      </c>
      <c r="H21" s="95">
        <f>SUM((((B21*(E21*(1-D21)))/(B5*(E5*(1-D5))))*H5)/2000)*48</f>
        <v>1.9851778656126475</v>
      </c>
      <c r="I21" s="95">
        <f>SUM((((B21*(E21*(1-D21)))/(B5*(E5*(1-D5))))*I5)/2000)*48</f>
        <v>2.1269762845849796</v>
      </c>
      <c r="J21" s="95">
        <f>SUM((((B21*(E21*(1-D21)))/(B5*(E5*(1-D5))))*J5)/2000)*48</f>
        <v>2.2687747035573116</v>
      </c>
      <c r="K21" s="95">
        <f>SUM((((B21*(E21*(1-D21)))/(B5*(E5*(1-D5))))*K5)/2000)*48</f>
        <v>2.4105731225296436</v>
      </c>
      <c r="L21" s="95">
        <f>SUM((((B21*(E21*(1-D21)))/(B5*(E5*(1-D5))))*L5)/2000)*48</f>
        <v>2.5523715415019756</v>
      </c>
      <c r="M21" s="95">
        <f>SUM((((B21*(E21*(1-D21)))/(B5*(E5*(1-D5))))*M5)/2000)*48</f>
        <v>2.6941699604743077</v>
      </c>
      <c r="N21" s="97">
        <f>SUM((((B21*(E21*(1-D21)))/(B5*(E5*(1-D5))))*N5)/2000)*48</f>
        <v>2.8359683794466397</v>
      </c>
      <c r="O21" s="96">
        <f>SUM((((B21*(E21*(1-D21)))/(B5*(E5*(1-D5))))*O5)/2000)*48</f>
        <v>2.9777667984189717</v>
      </c>
      <c r="P21" s="95">
        <f>SUM((((B21*(E21*(1-D21)))/(B5*(E5*(1-D5))))*P5)/2000)*48</f>
        <v>3.1195652173913038</v>
      </c>
      <c r="Q21" s="95">
        <f>SUM((((B21*(E21*(1-D21)))/(B5*(E5*(1-D5))))*Q5)/2000)*48</f>
        <v>3.261363636363635</v>
      </c>
      <c r="R21" s="95">
        <f>SUM((((B21*(E21*(1-D21)))/(B5*(E5*(1-D5))))*R5)/2000)*48</f>
        <v>3.4031620553359674</v>
      </c>
      <c r="S21" s="95">
        <f>SUM((((B21*(E21*(1-D21)))/(B5*(E5*(1-D5))))*S5)/2000)*48</f>
        <v>3.5449604743083</v>
      </c>
      <c r="T21" s="95">
        <f>SUM((((B21*(E21*(1-D21)))/(B5*(E5*(1-D5))))*T5)/2000)*48</f>
        <v>3.686758893280631</v>
      </c>
      <c r="U21" s="95">
        <f>SUM((((B21*(E21*(1-D21)))/(B5*(E5*(1-D5))))*U5)/2000)*48</f>
        <v>3.8285573122529635</v>
      </c>
      <c r="V21" s="95">
        <f>SUM((((B21*(E21*(1-D21)))/(B5*(E5*(1-D5))))*V5)/2000)*48</f>
        <v>3.970355731225295</v>
      </c>
    </row>
    <row r="22" spans="1:22" s="94" customFormat="1" ht="19.5" customHeight="1">
      <c r="A22" s="162" t="str">
        <f>Input!B23&amp;" ($/"&amp;Input!D23&amp;")"</f>
        <v>Corn (56lb) ($/bushel)</v>
      </c>
      <c r="B22" s="155">
        <f>Input!E23</f>
        <v>8500</v>
      </c>
      <c r="C22" s="72" t="s">
        <v>32</v>
      </c>
      <c r="D22" s="157">
        <f>Input!G23</f>
        <v>0.155</v>
      </c>
      <c r="E22" s="157">
        <f>Input!H23</f>
        <v>0.65</v>
      </c>
      <c r="F22" s="95">
        <f>SUM((((B22*(E22*(1-D22)))/(B5*(E5*(1-D5))))*F5)/2000)*56</f>
        <v>1.9872529644268773</v>
      </c>
      <c r="G22" s="95">
        <f>SUM((((B22*(E22*(1-D22)))/(B5*(E5*(1-D5))))*G5)/2000)*56</f>
        <v>2.152857378129117</v>
      </c>
      <c r="H22" s="95">
        <f>SUM((((B22*(E22*(1-D22)))/(B5*(E5*(1-D5))))*H5)/2000)*56</f>
        <v>2.318461791831357</v>
      </c>
      <c r="I22" s="95">
        <f>SUM((((B22*(E22*(1-D22)))/(B5*(E5*(1-D5))))*I5)/2000)*56</f>
        <v>2.4840662055335967</v>
      </c>
      <c r="J22" s="95">
        <f>SUM((((B22*(E22*(1-D22)))/(B5*(E5*(1-D5))))*J5)/2000)*56</f>
        <v>2.6496706192358364</v>
      </c>
      <c r="K22" s="95">
        <f>SUM((((B22*(E22*(1-D22)))/(B5*(E5*(1-D5))))*K5)/2000)*56</f>
        <v>2.815275032938076</v>
      </c>
      <c r="L22" s="95">
        <f>SUM((((B22*(E22*(1-D22)))/(B5*(E5*(1-D5))))*L5)/2000)*56</f>
        <v>2.9808794466403157</v>
      </c>
      <c r="M22" s="95">
        <f>SUM((((B22*(E22*(1-D22)))/(B5*(E5*(1-D5))))*M5)/2000)*56</f>
        <v>3.146483860342556</v>
      </c>
      <c r="N22" s="97">
        <f>SUM((((B22*(E22*(1-D22)))/(B5*(E5*(1-D5))))*N5)/2000)*56</f>
        <v>3.3120882740447954</v>
      </c>
      <c r="O22" s="96">
        <f>SUM((((B22*(E22*(1-D22)))/(B5*(E5*(1-D5))))*O5)/2000)*56</f>
        <v>3.477692687747035</v>
      </c>
      <c r="P22" s="95">
        <f>SUM((((B22*(E22*(1-D22)))/(B5*(E5*(1-D5))))*P5)/2000)*56</f>
        <v>3.643297101449275</v>
      </c>
      <c r="Q22" s="95">
        <f>SUM((((B22*(E22*(1-D22)))/(B5*(E5*(1-D5))))*Q5)/2000)*56</f>
        <v>3.808901515151515</v>
      </c>
      <c r="R22" s="95">
        <f>SUM((((B22*(E22*(1-D22)))/(B5*(E5*(1-D5))))*R5)/2000)*56</f>
        <v>3.9745059288537545</v>
      </c>
      <c r="S22" s="95">
        <f>SUM((((B22*(E22*(1-D22)))/(B5*(E5*(1-D5))))*S5)/2000)*56</f>
        <v>4.140110342555994</v>
      </c>
      <c r="T22" s="95">
        <f>SUM((((B22*(E22*(1-D22)))/(B5*(E5*(1-D5))))*T5)/2000)*56</f>
        <v>4.305714756258234</v>
      </c>
      <c r="U22" s="95">
        <f>SUM((((B22*(E22*(1-D22)))/(B5*(E5*(1-D5))))*U5)/2000)*56</f>
        <v>4.4713191699604735</v>
      </c>
      <c r="V22" s="95">
        <f>SUM((((B22*(E22*(1-D22)))/(B5*(E5*(1-D5))))*V5)/2000)*56</f>
        <v>4.636923583662714</v>
      </c>
    </row>
    <row r="23" spans="1:22" s="94" customFormat="1" ht="19.5" customHeight="1">
      <c r="A23" s="162" t="str">
        <f>Input!B24&amp;" ($/"&amp;Input!D24&amp;")"</f>
        <v>Sunflower Seeds  ($/pound)</v>
      </c>
      <c r="B23" s="155">
        <f>Input!E24</f>
        <v>12000</v>
      </c>
      <c r="C23" s="72" t="s">
        <v>32</v>
      </c>
      <c r="D23" s="157">
        <f>Input!G24</f>
        <v>0.08</v>
      </c>
      <c r="E23" s="157">
        <f>Input!H24</f>
        <v>0.65</v>
      </c>
      <c r="F23" s="95">
        <f>SUM((((B23*(E23*(1-D23)))/(B5*(E5*(1-D5))))*F5)/2000)</f>
        <v>0.05454545454545455</v>
      </c>
      <c r="G23" s="95">
        <f>SUM((((B23*(E23*(1-D23)))/(B5*(E5*(1-D5))))*G5)/2000)</f>
        <v>0.05909090909090909</v>
      </c>
      <c r="H23" s="95">
        <f>SUM((((B23*(E23*(1-D23)))/(B5*(E5*(1-D5))))*H5)/2000)</f>
        <v>0.06363636363636363</v>
      </c>
      <c r="I23" s="95">
        <f>SUM((((B23*(E23*(1-D23)))/(B5*(E5*(1-D5))))*I5)/2000)</f>
        <v>0.06818181818181818</v>
      </c>
      <c r="J23" s="95">
        <f>SUM((((B23*(E23*(1-D23)))/(B5*(E5*(1-D5))))*J5)/2000)</f>
        <v>0.07272727272727272</v>
      </c>
      <c r="K23" s="95">
        <f>SUM((((B23*(E23*(1-D23)))/(B5*(E5*(1-D5))))*K5)/2000)</f>
        <v>0.07727272727272727</v>
      </c>
      <c r="L23" s="95">
        <f>SUM((((B23*(E23*(1-D23)))/(B5*(E5*(1-D5))))*L5)/2000)</f>
        <v>0.08181818181818182</v>
      </c>
      <c r="M23" s="95">
        <f>SUM((((B23*(E23*(1-D23)))/(B5*(E5*(1-D5))))*M5)/2000)</f>
        <v>0.08636363636363636</v>
      </c>
      <c r="N23" s="97">
        <f>SUM((((B23*(E23*(1-D23)))/(B5*(E5*(1-D5))))*N5)/2000)</f>
        <v>0.09090909090909091</v>
      </c>
      <c r="O23" s="96">
        <f>SUM((((B23*(E23*(1-D23)))/(B5*(E5*(1-D5))))*O5)/2000)</f>
        <v>0.09545454545454546</v>
      </c>
      <c r="P23" s="95">
        <f>SUM((((B23*(E23*(1-D23)))/(B5*(E5*(1-D5))))*P5)/2000)</f>
        <v>0.1</v>
      </c>
      <c r="Q23" s="95">
        <f>SUM((((B23*(E23*(1-D23)))/(B5*(E5*(1-D5))))*Q5)/2000)</f>
        <v>0.10454545454545455</v>
      </c>
      <c r="R23" s="95">
        <f>SUM((((B23*(E23*(1-D23)))/(B5*(E5*(1-D5))))*R5)/2000)</f>
        <v>0.1090909090909091</v>
      </c>
      <c r="S23" s="95">
        <f>SUM((((B23*(E23*(1-D23)))/(B5*(E5*(1-D5))))*S5)/2000)</f>
        <v>0.11363636363636363</v>
      </c>
      <c r="T23" s="95">
        <f>SUM((((B23*(E23*(1-D23)))/(B5*(E5*(1-D5))))*T5)/2000)</f>
        <v>0.11818181818181818</v>
      </c>
      <c r="U23" s="95">
        <f>SUM((((B23*(E23*(1-D23)))/(B5*(E5*(1-D5))))*U5)/2000)</f>
        <v>0.12272727272727271</v>
      </c>
      <c r="V23" s="95">
        <f>SUM((((B23*(E23*(1-D23)))/(B5*(E5*(1-D5))))*V5)/2000)</f>
        <v>0.12727272727272726</v>
      </c>
    </row>
    <row r="24" spans="1:22" s="94" customFormat="1" ht="19.5" customHeight="1">
      <c r="A24" s="162" t="str">
        <f>Input!B25&amp;" ($/"&amp;Input!D25&amp;")"</f>
        <v>Firewood (2100lb/124cft.) ($/cord)</v>
      </c>
      <c r="B24" s="155">
        <f>Input!E25</f>
        <v>6900</v>
      </c>
      <c r="C24" s="72" t="s">
        <v>32</v>
      </c>
      <c r="D24" s="157">
        <f>Input!G25</f>
        <v>0.2</v>
      </c>
      <c r="E24" s="157">
        <f>Input!H25</f>
        <v>0.5</v>
      </c>
      <c r="F24" s="98">
        <f>SUM((((B24*(E24*(1-D24)))/(B5*(E5*(1-D5))))*F5)/2000)*2100</f>
        <v>44.055944055944046</v>
      </c>
      <c r="G24" s="98">
        <f>SUM((((B24*(E24*(1-D24)))/(B5*(E5*(1-D5))))*G5)/2000)*2100</f>
        <v>47.72727272727272</v>
      </c>
      <c r="H24" s="98">
        <f>SUM((((B24*(E24*(1-D24)))/(B5*(E5*(1-D5))))*H5)/2000)*2100</f>
        <v>51.398601398601386</v>
      </c>
      <c r="I24" s="98">
        <f>SUM((((B24*(E24*(1-D24)))/(B5*(E5*(1-D5))))*I5)/2000)*2100</f>
        <v>55.06993006993007</v>
      </c>
      <c r="J24" s="98">
        <f>SUM((((B24*(E24*(1-D24)))/(B5*(E5*(1-D5))))*J5)/2000)*2100</f>
        <v>58.741258741258726</v>
      </c>
      <c r="K24" s="98">
        <f>SUM((((B24*(E24*(1-D24)))/(B5*(E5*(1-D5))))*K5)/2000)*2100</f>
        <v>62.4125874125874</v>
      </c>
      <c r="L24" s="98">
        <f>SUM((((B24*(E24*(1-D24)))/(B5*(E5*(1-D5))))*L5)/2000)*2100</f>
        <v>66.08391608391608</v>
      </c>
      <c r="M24" s="98">
        <f>SUM((((B24*(E24*(1-D24)))/(B5*(E5*(1-D5))))*M5)/2000)*2100</f>
        <v>69.75524475524476</v>
      </c>
      <c r="N24" s="100">
        <f>SUM((((B24*(E24*(1-D24)))/(B5*(E5*(1-D5))))*N5)/2000)*2100</f>
        <v>73.42657342657341</v>
      </c>
      <c r="O24" s="99">
        <f>SUM((((B24*(E24*(1-D24)))/(B5*(E5*(1-D5))))*O5)/2000)*2100</f>
        <v>77.09790209790208</v>
      </c>
      <c r="P24" s="98">
        <f>SUM((((B24*(E24*(1-D24)))/(B5*(E5*(1-D5))))*P5)/2000)*2100</f>
        <v>80.76923076923075</v>
      </c>
      <c r="Q24" s="98">
        <f>SUM((((B24*(E24*(1-D24)))/(B5*(E5*(1-D5))))*Q5)/2000)*2100</f>
        <v>84.44055944055943</v>
      </c>
      <c r="R24" s="98">
        <f>SUM((((B24*(E24*(1-D24)))/(B5*(E5*(1-D5))))*R5)/2000)*2100</f>
        <v>88.11188811188809</v>
      </c>
      <c r="S24" s="98">
        <f>SUM((((B24*(E24*(1-D24)))/(B5*(E5*(1-D5))))*S5)/2000)*2100</f>
        <v>91.78321678321676</v>
      </c>
      <c r="T24" s="98">
        <f>SUM((((B24*(E24*(1-D24)))/(B5*(E5*(1-D5))))*T5)/2000)*2100</f>
        <v>95.45454545454544</v>
      </c>
      <c r="U24" s="98">
        <f>SUM((((B24*(E24*(1-D24)))/(B5*(E5*(1-D5))))*U5)/2000)*2100</f>
        <v>99.1258741258741</v>
      </c>
      <c r="V24" s="98">
        <f>SUM((((B24*(E24*(1-D24)))/(B5*(E5*(1-D5))))*V5)/2000)*2100</f>
        <v>102.79720279720277</v>
      </c>
    </row>
    <row r="25" spans="1:22" s="94" customFormat="1" ht="13.5" customHeight="1">
      <c r="A25" s="73"/>
      <c r="B25" s="77"/>
      <c r="C25" s="75"/>
      <c r="D25" s="101"/>
      <c r="E25" s="102"/>
      <c r="F25" s="103"/>
      <c r="G25" s="103"/>
      <c r="H25" s="103"/>
      <c r="I25" s="103"/>
      <c r="J25" s="103"/>
      <c r="K25" s="103"/>
      <c r="L25" s="103"/>
      <c r="M25" s="103"/>
      <c r="N25" s="103"/>
      <c r="O25" s="103"/>
      <c r="P25" s="103"/>
      <c r="Q25" s="103"/>
      <c r="R25" s="103"/>
      <c r="S25" s="103"/>
      <c r="T25" s="103"/>
      <c r="U25" s="103"/>
      <c r="V25" s="103"/>
    </row>
    <row r="26" spans="1:22" ht="15.75">
      <c r="A26" s="104" t="s">
        <v>66</v>
      </c>
      <c r="B26" s="2"/>
      <c r="C26" s="2"/>
      <c r="D26" s="2"/>
      <c r="E26" s="2"/>
      <c r="F26" s="2"/>
      <c r="G26" s="2"/>
      <c r="H26" s="2"/>
      <c r="I26" s="2"/>
      <c r="J26" s="2"/>
      <c r="K26" s="2"/>
      <c r="L26" s="2"/>
      <c r="M26" s="2"/>
      <c r="N26" s="2"/>
      <c r="O26" s="2"/>
      <c r="P26" s="2"/>
      <c r="Q26" s="2"/>
      <c r="R26" s="2"/>
      <c r="S26" s="2"/>
      <c r="T26" s="2"/>
      <c r="U26" s="2"/>
      <c r="V26" s="2"/>
    </row>
    <row r="27" spans="1:22" ht="66.75" customHeight="1">
      <c r="A27" s="177" t="s">
        <v>110</v>
      </c>
      <c r="B27" s="178"/>
      <c r="C27" s="178"/>
      <c r="D27" s="178"/>
      <c r="E27" s="178"/>
      <c r="F27" s="178"/>
      <c r="G27" s="178"/>
      <c r="H27" s="178"/>
      <c r="I27" s="178"/>
      <c r="J27" s="178"/>
      <c r="K27" s="178"/>
      <c r="L27" s="178"/>
      <c r="M27" s="178"/>
      <c r="N27" s="178"/>
      <c r="O27" s="178"/>
      <c r="P27" s="178"/>
      <c r="Q27" s="178"/>
      <c r="R27" s="178"/>
      <c r="S27" s="178"/>
      <c r="T27" s="178"/>
      <c r="U27" s="178"/>
      <c r="V27" s="178"/>
    </row>
    <row r="29" ht="15.75">
      <c r="A29" s="5" t="s">
        <v>67</v>
      </c>
    </row>
    <row r="30" spans="1:22" ht="12.75">
      <c r="A30" s="179" t="s">
        <v>68</v>
      </c>
      <c r="B30" s="179"/>
      <c r="C30" s="179"/>
      <c r="D30" s="179"/>
      <c r="E30" s="179"/>
      <c r="F30" s="179"/>
      <c r="G30" s="179"/>
      <c r="H30" s="179"/>
      <c r="I30" s="179"/>
      <c r="J30" s="179"/>
      <c r="K30" s="179"/>
      <c r="L30" s="179"/>
      <c r="M30" s="179"/>
      <c r="N30" s="179"/>
      <c r="O30" s="179"/>
      <c r="P30" s="179"/>
      <c r="Q30" s="179"/>
      <c r="R30" s="179"/>
      <c r="S30" s="179"/>
      <c r="T30" s="179"/>
      <c r="U30" s="179"/>
      <c r="V30" s="179"/>
    </row>
    <row r="31" spans="1:22" ht="12.75">
      <c r="A31" s="105"/>
      <c r="B31" s="105"/>
      <c r="C31" s="105"/>
      <c r="D31" s="105"/>
      <c r="E31" s="105"/>
      <c r="F31" s="105"/>
      <c r="G31" s="105"/>
      <c r="H31" s="105"/>
      <c r="I31" s="105"/>
      <c r="J31" s="105"/>
      <c r="K31" s="105"/>
      <c r="L31" s="105"/>
      <c r="M31" s="105"/>
      <c r="N31" s="105"/>
      <c r="O31" s="105"/>
      <c r="P31" s="105"/>
      <c r="Q31" s="105"/>
      <c r="R31" s="105"/>
      <c r="S31" s="105"/>
      <c r="T31" s="105"/>
      <c r="U31" s="105"/>
      <c r="V31" s="105"/>
    </row>
    <row r="32" ht="12.75">
      <c r="A32" s="106" t="str">
        <f>"2012 Manitoba Residential Energy Rates - electricity $"&amp;Input!C6&amp;"/kWh and natural gas $"&amp;Input!C7&amp;"/m3 (approximate rates including tax)"</f>
        <v>2012 Manitoba Residential Energy Rates - electricity $0.0738901/kWh and natural gas $0.3555/m3 (approximate rates including tax)</v>
      </c>
    </row>
    <row r="34" spans="1:22" ht="31.5" customHeight="1">
      <c r="A34" s="180" t="s">
        <v>101</v>
      </c>
      <c r="B34" s="181"/>
      <c r="C34" s="181"/>
      <c r="D34" s="181"/>
      <c r="E34" s="181"/>
      <c r="F34" s="181"/>
      <c r="G34" s="181"/>
      <c r="H34" s="181"/>
      <c r="I34" s="181"/>
      <c r="J34" s="181"/>
      <c r="K34" s="181"/>
      <c r="L34" s="181"/>
      <c r="M34" s="181"/>
      <c r="N34" s="181"/>
      <c r="O34" s="181"/>
      <c r="P34" s="181"/>
      <c r="Q34" s="181"/>
      <c r="R34" s="181"/>
      <c r="S34" s="181"/>
      <c r="T34" s="181"/>
      <c r="U34" s="181"/>
      <c r="V34" s="181"/>
    </row>
  </sheetData>
  <sheetProtection password="C6A6" sheet="1" objects="1" scenarios="1"/>
  <mergeCells count="9">
    <mergeCell ref="A27:V27"/>
    <mergeCell ref="A30:V30"/>
    <mergeCell ref="A34:V34"/>
    <mergeCell ref="A3:A4"/>
    <mergeCell ref="B3:B4"/>
    <mergeCell ref="C3:C4"/>
    <mergeCell ref="D3:D4"/>
    <mergeCell ref="E3:E4"/>
    <mergeCell ref="F3:V4"/>
  </mergeCells>
  <printOptions/>
  <pageMargins left="0.3937007874015748" right="0.3937007874015748" top="0.7480314960629921" bottom="0.7480314960629921" header="0.31496062992125984" footer="0.31496062992125984"/>
  <pageSetup firstPageNumber="4" useFirstPageNumber="1" fitToHeight="1" fitToWidth="1" horizontalDpi="600" verticalDpi="600" orientation="landscape" scale="72" r:id="rId1"/>
  <headerFooter alignWithMargins="0">
    <oddHeader>&amp;LGuidelines: Manitoba Heating Fuels Cost Comparison&amp;R&amp;P</oddHeader>
    <oddFooter xml:space="preserve">&amp;RMAFRI, GO Team Branch </oddFooter>
  </headerFooter>
</worksheet>
</file>

<file path=xl/worksheets/sheet5.xml><?xml version="1.0" encoding="utf-8"?>
<worksheet xmlns="http://schemas.openxmlformats.org/spreadsheetml/2006/main" xmlns:r="http://schemas.openxmlformats.org/officeDocument/2006/relationships">
  <sheetPr codeName="Sheet1">
    <pageSetUpPr fitToPage="1"/>
  </sheetPr>
  <dimension ref="B1:K29"/>
  <sheetViews>
    <sheetView zoomScalePageLayoutView="0" workbookViewId="0" topLeftCell="A1">
      <selection activeCell="C20" sqref="C20"/>
    </sheetView>
  </sheetViews>
  <sheetFormatPr defaultColWidth="9.140625" defaultRowHeight="12.75"/>
  <cols>
    <col min="1" max="1" width="5.57421875" style="27" customWidth="1"/>
    <col min="2" max="2" width="37.7109375" style="27" customWidth="1"/>
    <col min="3" max="3" width="15.421875" style="89" customWidth="1"/>
    <col min="4" max="4" width="15.421875" style="93" customWidth="1"/>
    <col min="5" max="5" width="10.8515625" style="27" customWidth="1"/>
    <col min="6" max="6" width="12.7109375" style="27" customWidth="1"/>
    <col min="7" max="7" width="12.140625" style="27" customWidth="1"/>
    <col min="8" max="8" width="14.28125" style="27" customWidth="1"/>
    <col min="9" max="9" width="12.28125" style="27" customWidth="1"/>
    <col min="10" max="10" width="8.140625" style="27" customWidth="1"/>
    <col min="11" max="16384" width="9.140625" style="27" customWidth="1"/>
  </cols>
  <sheetData>
    <row r="1" spans="2:10" ht="15.75">
      <c r="B1" s="26"/>
      <c r="C1" s="87"/>
      <c r="D1" s="29"/>
      <c r="F1" s="26"/>
      <c r="G1" s="26"/>
      <c r="H1" s="26"/>
      <c r="I1" s="26"/>
      <c r="J1" s="26"/>
    </row>
    <row r="2" spans="2:11" ht="18">
      <c r="B2" s="187" t="s">
        <v>39</v>
      </c>
      <c r="C2" s="187"/>
      <c r="D2" s="187"/>
      <c r="E2" s="187"/>
      <c r="F2" s="187"/>
      <c r="G2" s="187"/>
      <c r="H2" s="187"/>
      <c r="I2" s="187"/>
      <c r="J2" s="187"/>
      <c r="K2" s="187"/>
    </row>
    <row r="3" spans="2:10" ht="15.75">
      <c r="B3" s="26"/>
      <c r="C3" s="87"/>
      <c r="D3" s="29"/>
      <c r="F3" s="26"/>
      <c r="G3" s="26"/>
      <c r="H3" s="28"/>
      <c r="I3" s="26"/>
      <c r="J3" s="26"/>
    </row>
    <row r="4" spans="2:10" ht="15.75" customHeight="1">
      <c r="B4" s="188" t="s">
        <v>43</v>
      </c>
      <c r="C4" s="186" t="s">
        <v>48</v>
      </c>
      <c r="D4" s="186"/>
      <c r="E4" s="186" t="s">
        <v>49</v>
      </c>
      <c r="F4" s="186"/>
      <c r="G4" s="189" t="s">
        <v>102</v>
      </c>
      <c r="H4" s="189" t="s">
        <v>103</v>
      </c>
      <c r="I4" s="26"/>
      <c r="J4" s="26"/>
    </row>
    <row r="5" spans="2:10" ht="15.75" customHeight="1">
      <c r="B5" s="188"/>
      <c r="C5" s="186"/>
      <c r="D5" s="186"/>
      <c r="E5" s="186"/>
      <c r="F5" s="186"/>
      <c r="G5" s="189"/>
      <c r="H5" s="189"/>
      <c r="I5" s="26"/>
      <c r="J5" s="26"/>
    </row>
    <row r="6" spans="2:8" s="30" customFormat="1" ht="18" customHeight="1">
      <c r="B6" s="46" t="s">
        <v>51</v>
      </c>
      <c r="C6" s="172">
        <v>0.0738901</v>
      </c>
      <c r="D6" s="90" t="s">
        <v>15</v>
      </c>
      <c r="E6" s="78">
        <v>3413</v>
      </c>
      <c r="F6" s="79" t="s">
        <v>15</v>
      </c>
      <c r="G6" s="170" t="s">
        <v>40</v>
      </c>
      <c r="H6" s="170">
        <v>1</v>
      </c>
    </row>
    <row r="7" spans="2:8" s="30" customFormat="1" ht="18" customHeight="1">
      <c r="B7" s="80" t="s">
        <v>70</v>
      </c>
      <c r="C7" s="74">
        <v>0.3555</v>
      </c>
      <c r="D7" s="29" t="s">
        <v>50</v>
      </c>
      <c r="E7" s="81">
        <v>32843.6</v>
      </c>
      <c r="F7" s="82" t="s">
        <v>50</v>
      </c>
      <c r="G7" s="83" t="s">
        <v>40</v>
      </c>
      <c r="H7" s="83">
        <v>0.92</v>
      </c>
    </row>
    <row r="8" spans="2:8" s="30" customFormat="1" ht="18" customHeight="1">
      <c r="B8" s="80" t="s">
        <v>71</v>
      </c>
      <c r="C8" s="74">
        <v>0.355</v>
      </c>
      <c r="D8" s="29" t="s">
        <v>50</v>
      </c>
      <c r="E8" s="81">
        <v>32843.6</v>
      </c>
      <c r="F8" s="82" t="s">
        <v>50</v>
      </c>
      <c r="G8" s="83" t="s">
        <v>40</v>
      </c>
      <c r="H8" s="83">
        <v>0.75</v>
      </c>
    </row>
    <row r="9" spans="2:8" s="30" customFormat="1" ht="18" customHeight="1">
      <c r="B9" s="80" t="s">
        <v>17</v>
      </c>
      <c r="C9" s="76">
        <v>100</v>
      </c>
      <c r="D9" s="91" t="s">
        <v>16</v>
      </c>
      <c r="E9" s="81">
        <v>6900</v>
      </c>
      <c r="F9" s="82" t="s">
        <v>32</v>
      </c>
      <c r="G9" s="83">
        <v>0.12</v>
      </c>
      <c r="H9" s="83">
        <v>0.65</v>
      </c>
    </row>
    <row r="10" spans="2:8" s="30" customFormat="1" ht="18" customHeight="1">
      <c r="B10" s="80" t="s">
        <v>52</v>
      </c>
      <c r="C10" s="169">
        <v>0.98</v>
      </c>
      <c r="D10" s="88" t="s">
        <v>42</v>
      </c>
      <c r="E10" s="81">
        <v>36984.2</v>
      </c>
      <c r="F10" s="82" t="s">
        <v>42</v>
      </c>
      <c r="G10" s="83" t="s">
        <v>40</v>
      </c>
      <c r="H10" s="83">
        <v>0.7</v>
      </c>
    </row>
    <row r="11" spans="2:8" s="30" customFormat="1" ht="18" customHeight="1">
      <c r="B11" s="80" t="s">
        <v>98</v>
      </c>
      <c r="C11" s="171">
        <v>85.33</v>
      </c>
      <c r="D11" s="91" t="s">
        <v>16</v>
      </c>
      <c r="E11" s="81">
        <v>7713</v>
      </c>
      <c r="F11" s="82" t="s">
        <v>32</v>
      </c>
      <c r="G11" s="83">
        <v>0.11</v>
      </c>
      <c r="H11" s="83">
        <v>0.65</v>
      </c>
    </row>
    <row r="12" spans="2:8" s="30" customFormat="1" ht="18" customHeight="1">
      <c r="B12" s="80" t="s">
        <v>99</v>
      </c>
      <c r="C12" s="171">
        <v>79.66</v>
      </c>
      <c r="D12" s="91" t="s">
        <v>16</v>
      </c>
      <c r="E12" s="81">
        <v>8587</v>
      </c>
      <c r="F12" s="82" t="s">
        <v>32</v>
      </c>
      <c r="G12" s="83">
        <v>0.13</v>
      </c>
      <c r="H12" s="83">
        <v>0.65</v>
      </c>
    </row>
    <row r="13" spans="2:8" s="30" customFormat="1" ht="18" customHeight="1">
      <c r="B13" s="80" t="s">
        <v>100</v>
      </c>
      <c r="C13" s="171">
        <v>120</v>
      </c>
      <c r="D13" s="91" t="s">
        <v>16</v>
      </c>
      <c r="E13" s="81">
        <v>7929</v>
      </c>
      <c r="F13" s="82" t="s">
        <v>32</v>
      </c>
      <c r="G13" s="83">
        <v>0.13</v>
      </c>
      <c r="H13" s="83">
        <v>0.65</v>
      </c>
    </row>
    <row r="14" spans="2:8" s="30" customFormat="1" ht="18" customHeight="1">
      <c r="B14" s="80" t="s">
        <v>107</v>
      </c>
      <c r="C14" s="171">
        <v>120</v>
      </c>
      <c r="D14" s="91" t="s">
        <v>16</v>
      </c>
      <c r="E14" s="81">
        <v>8289</v>
      </c>
      <c r="F14" s="82" t="s">
        <v>32</v>
      </c>
      <c r="G14" s="83">
        <v>0.12</v>
      </c>
      <c r="H14" s="83">
        <v>0.65</v>
      </c>
    </row>
    <row r="15" spans="2:8" s="30" customFormat="1" ht="18" customHeight="1">
      <c r="B15" s="80" t="s">
        <v>53</v>
      </c>
      <c r="C15" s="134">
        <v>85</v>
      </c>
      <c r="D15" s="91" t="s">
        <v>16</v>
      </c>
      <c r="E15" s="81">
        <v>7739</v>
      </c>
      <c r="F15" s="82" t="s">
        <v>32</v>
      </c>
      <c r="G15" s="84">
        <v>0.2</v>
      </c>
      <c r="H15" s="83">
        <v>0.65</v>
      </c>
    </row>
    <row r="16" spans="2:8" s="30" customFormat="1" ht="18" customHeight="1">
      <c r="B16" s="80" t="s">
        <v>54</v>
      </c>
      <c r="C16" s="134">
        <v>100</v>
      </c>
      <c r="D16" s="91" t="s">
        <v>16</v>
      </c>
      <c r="E16" s="81">
        <v>7491</v>
      </c>
      <c r="F16" s="82" t="s">
        <v>32</v>
      </c>
      <c r="G16" s="83">
        <v>0.1</v>
      </c>
      <c r="H16" s="83">
        <v>0.65</v>
      </c>
    </row>
    <row r="17" spans="2:8" s="139" customFormat="1" ht="18" customHeight="1">
      <c r="B17" s="133" t="s">
        <v>55</v>
      </c>
      <c r="C17" s="134">
        <v>100</v>
      </c>
      <c r="D17" s="135" t="s">
        <v>16</v>
      </c>
      <c r="E17" s="136">
        <v>7732</v>
      </c>
      <c r="F17" s="137" t="s">
        <v>32</v>
      </c>
      <c r="G17" s="138">
        <v>0.08</v>
      </c>
      <c r="H17" s="138">
        <v>0.65</v>
      </c>
    </row>
    <row r="18" spans="2:8" s="30" customFormat="1" ht="18" customHeight="1">
      <c r="B18" s="80" t="s">
        <v>56</v>
      </c>
      <c r="C18" s="134">
        <v>175</v>
      </c>
      <c r="D18" s="91" t="s">
        <v>16</v>
      </c>
      <c r="E18" s="85">
        <v>8200</v>
      </c>
      <c r="F18" s="82" t="s">
        <v>32</v>
      </c>
      <c r="G18" s="84">
        <v>0.05</v>
      </c>
      <c r="H18" s="83">
        <v>0.65</v>
      </c>
    </row>
    <row r="19" spans="2:8" s="30" customFormat="1" ht="18" customHeight="1">
      <c r="B19" s="80" t="s">
        <v>104</v>
      </c>
      <c r="C19" s="134">
        <v>150</v>
      </c>
      <c r="D19" s="91" t="s">
        <v>16</v>
      </c>
      <c r="E19" s="85">
        <v>8000</v>
      </c>
      <c r="F19" s="82" t="s">
        <v>32</v>
      </c>
      <c r="G19" s="84">
        <v>0.05</v>
      </c>
      <c r="H19" s="83">
        <v>0.65</v>
      </c>
    </row>
    <row r="20" spans="2:8" s="30" customFormat="1" ht="18" customHeight="1">
      <c r="B20" s="80" t="s">
        <v>59</v>
      </c>
      <c r="C20" s="171">
        <v>6.75</v>
      </c>
      <c r="D20" s="92" t="s">
        <v>37</v>
      </c>
      <c r="E20" s="81">
        <v>8700</v>
      </c>
      <c r="F20" s="82" t="s">
        <v>32</v>
      </c>
      <c r="G20" s="86">
        <v>0.135</v>
      </c>
      <c r="H20" s="83">
        <v>0.65</v>
      </c>
    </row>
    <row r="21" spans="2:8" s="30" customFormat="1" ht="18" customHeight="1">
      <c r="B21" s="80" t="s">
        <v>60</v>
      </c>
      <c r="C21" s="171">
        <v>3.4</v>
      </c>
      <c r="D21" s="92" t="s">
        <v>37</v>
      </c>
      <c r="E21" s="81">
        <v>8242</v>
      </c>
      <c r="F21" s="82" t="s">
        <v>32</v>
      </c>
      <c r="G21" s="86">
        <v>0.125</v>
      </c>
      <c r="H21" s="83">
        <v>0.65</v>
      </c>
    </row>
    <row r="22" spans="2:8" s="30" customFormat="1" ht="18" customHeight="1">
      <c r="B22" s="80" t="s">
        <v>61</v>
      </c>
      <c r="C22" s="171">
        <v>4.75</v>
      </c>
      <c r="D22" s="92" t="s">
        <v>37</v>
      </c>
      <c r="E22" s="81">
        <v>8200</v>
      </c>
      <c r="F22" s="82" t="s">
        <v>32</v>
      </c>
      <c r="G22" s="86">
        <v>0.125</v>
      </c>
      <c r="H22" s="83">
        <v>0.65</v>
      </c>
    </row>
    <row r="23" spans="2:8" s="30" customFormat="1" ht="18" customHeight="1">
      <c r="B23" s="80" t="s">
        <v>62</v>
      </c>
      <c r="C23" s="171">
        <v>7.25</v>
      </c>
      <c r="D23" s="92" t="s">
        <v>37</v>
      </c>
      <c r="E23" s="81">
        <v>8500</v>
      </c>
      <c r="F23" s="82" t="s">
        <v>32</v>
      </c>
      <c r="G23" s="86">
        <v>0.155</v>
      </c>
      <c r="H23" s="83">
        <v>0.65</v>
      </c>
    </row>
    <row r="24" spans="2:8" s="30" customFormat="1" ht="18" customHeight="1">
      <c r="B24" s="80" t="s">
        <v>63</v>
      </c>
      <c r="C24" s="171">
        <v>0.2</v>
      </c>
      <c r="D24" s="88" t="s">
        <v>58</v>
      </c>
      <c r="E24" s="81">
        <v>12000</v>
      </c>
      <c r="F24" s="82" t="s">
        <v>32</v>
      </c>
      <c r="G24" s="83">
        <v>0.08</v>
      </c>
      <c r="H24" s="83">
        <v>0.65</v>
      </c>
    </row>
    <row r="25" spans="2:8" s="30" customFormat="1" ht="18" customHeight="1">
      <c r="B25" s="80" t="s">
        <v>72</v>
      </c>
      <c r="C25" s="134">
        <v>150</v>
      </c>
      <c r="D25" s="88" t="s">
        <v>57</v>
      </c>
      <c r="E25" s="85">
        <v>6900</v>
      </c>
      <c r="F25" s="82" t="s">
        <v>32</v>
      </c>
      <c r="G25" s="84">
        <v>0.2</v>
      </c>
      <c r="H25" s="83">
        <v>0.5</v>
      </c>
    </row>
    <row r="27" ht="15.75">
      <c r="B27" s="167" t="s">
        <v>106</v>
      </c>
    </row>
    <row r="28" ht="15">
      <c r="B28" s="166" t="s">
        <v>108</v>
      </c>
    </row>
    <row r="29" ht="15">
      <c r="B29" s="166" t="s">
        <v>109</v>
      </c>
    </row>
  </sheetData>
  <sheetProtection/>
  <mergeCells count="6">
    <mergeCell ref="E4:F5"/>
    <mergeCell ref="B2:K2"/>
    <mergeCell ref="B4:B5"/>
    <mergeCell ref="G4:G5"/>
    <mergeCell ref="H4:H5"/>
    <mergeCell ref="C4:D5"/>
  </mergeCells>
  <printOptions/>
  <pageMargins left="0.75" right="0.75" top="1" bottom="1" header="0.5" footer="0.5"/>
  <pageSetup firstPageNumber="5" useFirstPageNumber="1" fitToHeight="1" fitToWidth="1" horizontalDpi="600" verticalDpi="600" orientation="portrait" scale="59" r:id="rId1"/>
  <headerFooter alignWithMargins="0">
    <oddHeader>&amp;R&amp;P</oddHeader>
  </headerFooter>
  <rowBreaks count="1" manualBreakCount="1">
    <brk id="4" max="7" man="1"/>
  </rowBreaks>
</worksheet>
</file>

<file path=xl/worksheets/sheet6.xml><?xml version="1.0" encoding="utf-8"?>
<worksheet xmlns="http://schemas.openxmlformats.org/spreadsheetml/2006/main" xmlns:r="http://schemas.openxmlformats.org/officeDocument/2006/relationships">
  <sheetPr codeName="Sheet3">
    <pageSetUpPr fitToPage="1"/>
  </sheetPr>
  <dimension ref="A1:J549"/>
  <sheetViews>
    <sheetView zoomScalePageLayoutView="0" workbookViewId="0" topLeftCell="A1">
      <selection activeCell="F12" sqref="F12"/>
    </sheetView>
  </sheetViews>
  <sheetFormatPr defaultColWidth="9.140625" defaultRowHeight="12.75"/>
  <cols>
    <col min="1" max="1" width="3.57421875" style="2" customWidth="1"/>
    <col min="2" max="2" width="2.7109375" style="2" customWidth="1"/>
    <col min="3" max="3" width="2.57421875" style="2" customWidth="1"/>
    <col min="4" max="4" width="35.140625" style="2" customWidth="1"/>
    <col min="5" max="5" width="3.8515625" style="2" customWidth="1"/>
    <col min="6" max="6" width="13.140625" style="2" customWidth="1"/>
    <col min="7" max="7" width="2.7109375" style="2" customWidth="1"/>
    <col min="8" max="8" width="15.421875" style="2" customWidth="1"/>
    <col min="9" max="9" width="14.7109375" style="2" customWidth="1"/>
    <col min="10" max="10" width="13.28125" style="2" customWidth="1"/>
    <col min="11" max="16384" width="9.140625" style="2" customWidth="1"/>
  </cols>
  <sheetData>
    <row r="1" ht="15">
      <c r="E1" s="7"/>
    </row>
    <row r="2" spans="2:9" ht="18">
      <c r="B2" s="191" t="s">
        <v>6</v>
      </c>
      <c r="C2" s="191"/>
      <c r="D2" s="191"/>
      <c r="E2" s="191"/>
      <c r="F2" s="191"/>
      <c r="G2" s="191"/>
      <c r="H2" s="191"/>
      <c r="I2" s="191"/>
    </row>
    <row r="3" ht="12.75" customHeight="1">
      <c r="E3" s="7"/>
    </row>
    <row r="4" spans="1:10" ht="15" customHeight="1">
      <c r="A4" s="192" t="s">
        <v>96</v>
      </c>
      <c r="B4" s="192"/>
      <c r="C4" s="192"/>
      <c r="D4" s="192"/>
      <c r="E4" s="192"/>
      <c r="F4" s="192"/>
      <c r="G4" s="192"/>
      <c r="H4" s="192"/>
      <c r="I4" s="192"/>
      <c r="J4" s="192"/>
    </row>
    <row r="5" spans="1:10" ht="15">
      <c r="A5" s="192"/>
      <c r="B5" s="192"/>
      <c r="C5" s="192"/>
      <c r="D5" s="192"/>
      <c r="E5" s="192"/>
      <c r="F5" s="192"/>
      <c r="G5" s="192"/>
      <c r="H5" s="192"/>
      <c r="I5" s="192"/>
      <c r="J5" s="192"/>
    </row>
    <row r="6" spans="2:9" ht="15">
      <c r="B6" s="23"/>
      <c r="C6" s="23"/>
      <c r="D6" s="23"/>
      <c r="E6" s="23"/>
      <c r="F6" s="23"/>
      <c r="G6" s="23"/>
      <c r="H6" s="23"/>
      <c r="I6" s="23"/>
    </row>
    <row r="7" spans="2:9" ht="18">
      <c r="B7" s="190" t="s">
        <v>80</v>
      </c>
      <c r="C7" s="190"/>
      <c r="D7" s="190"/>
      <c r="E7" s="190"/>
      <c r="F7" s="190"/>
      <c r="G7" s="190"/>
      <c r="H7" s="190"/>
      <c r="I7" s="190"/>
    </row>
    <row r="8" spans="2:9" ht="15.75">
      <c r="B8" s="8"/>
      <c r="C8" s="8"/>
      <c r="D8" s="8"/>
      <c r="E8" s="8"/>
      <c r="F8" s="8"/>
      <c r="G8" s="8"/>
      <c r="H8" s="8"/>
      <c r="I8" s="8"/>
    </row>
    <row r="9" spans="5:10" ht="15.75">
      <c r="E9" s="35"/>
      <c r="F9" s="16"/>
      <c r="H9" s="9"/>
      <c r="I9" s="9"/>
      <c r="J9" s="31"/>
    </row>
    <row r="10" spans="2:10" ht="15.75">
      <c r="B10" s="4" t="s">
        <v>64</v>
      </c>
      <c r="E10" s="7"/>
      <c r="J10" s="6" t="s">
        <v>3</v>
      </c>
    </row>
    <row r="11" spans="2:10" ht="15.75">
      <c r="B11" s="4"/>
      <c r="E11" s="7"/>
      <c r="J11" s="6"/>
    </row>
    <row r="12" spans="3:10" ht="15.75">
      <c r="C12" s="4" t="str">
        <f>" 1.01 "&amp;Input!B6&amp;""</f>
        <v> 1.01 Electricity</v>
      </c>
      <c r="E12" s="7"/>
      <c r="F12" s="56">
        <f>Input!C6</f>
        <v>0.0738901</v>
      </c>
      <c r="H12" s="2" t="s">
        <v>29</v>
      </c>
      <c r="J12" s="11"/>
    </row>
    <row r="13" spans="5:10" ht="15">
      <c r="E13" s="36" t="s">
        <v>0</v>
      </c>
      <c r="F13" s="39">
        <v>1</v>
      </c>
      <c r="H13" s="2" t="s">
        <v>31</v>
      </c>
      <c r="J13" s="11"/>
    </row>
    <row r="14" spans="5:10" ht="15">
      <c r="E14" s="41" t="s">
        <v>1</v>
      </c>
      <c r="F14" s="12">
        <f>Input!E6</f>
        <v>3413</v>
      </c>
      <c r="G14" s="13"/>
      <c r="H14" s="13" t="s">
        <v>27</v>
      </c>
      <c r="J14" s="15"/>
    </row>
    <row r="15" spans="5:10" ht="15.75">
      <c r="E15" s="35" t="s">
        <v>2</v>
      </c>
      <c r="F15" s="16">
        <f>SUM(F12*F13*(1000000/F14))</f>
        <v>21.649604453559917</v>
      </c>
      <c r="G15" s="4"/>
      <c r="H15" s="9" t="s">
        <v>26</v>
      </c>
      <c r="I15" s="9"/>
      <c r="J15" s="11"/>
    </row>
    <row r="16" spans="5:10" ht="15.75">
      <c r="E16" s="35"/>
      <c r="F16" s="16"/>
      <c r="G16" s="4"/>
      <c r="H16" s="9"/>
      <c r="I16" s="9"/>
      <c r="J16" s="31"/>
    </row>
    <row r="17" spans="3:10" ht="15.75">
      <c r="C17" s="4" t="str">
        <f>" 1.02 "&amp;Input!B7&amp;""</f>
        <v> 1.02 Natural Gas - High Efficiency</v>
      </c>
      <c r="E17" s="36"/>
      <c r="F17" s="14">
        <f>Input!E7</f>
        <v>32843.6</v>
      </c>
      <c r="H17" s="7" t="s">
        <v>33</v>
      </c>
      <c r="I17" s="9"/>
      <c r="J17" s="11"/>
    </row>
    <row r="18" spans="3:10" ht="15.75">
      <c r="C18" s="4"/>
      <c r="E18" s="41" t="s">
        <v>0</v>
      </c>
      <c r="F18" s="51">
        <f>Input!H7</f>
        <v>0.92</v>
      </c>
      <c r="G18" s="13"/>
      <c r="H18" s="10" t="s">
        <v>22</v>
      </c>
      <c r="I18" s="9"/>
      <c r="J18" s="11"/>
    </row>
    <row r="19" spans="5:10" ht="15.75">
      <c r="E19" s="35" t="s">
        <v>2</v>
      </c>
      <c r="F19" s="50">
        <f>SUM(F17*F18)</f>
        <v>30216.112</v>
      </c>
      <c r="G19" s="4"/>
      <c r="H19" s="9" t="s">
        <v>34</v>
      </c>
      <c r="I19" s="9"/>
      <c r="J19" s="11"/>
    </row>
    <row r="20" spans="5:10" ht="15.75">
      <c r="E20" s="35"/>
      <c r="F20" s="16"/>
      <c r="H20" s="9"/>
      <c r="I20" s="9"/>
      <c r="J20" s="31"/>
    </row>
    <row r="21" spans="5:10" ht="15.75">
      <c r="E21" s="35"/>
      <c r="F21" s="60">
        <f>Input!C7</f>
        <v>0.3555</v>
      </c>
      <c r="H21" s="7" t="s">
        <v>35</v>
      </c>
      <c r="I21" s="9"/>
      <c r="J21" s="11"/>
    </row>
    <row r="22" spans="5:10" ht="15.75">
      <c r="E22" s="61" t="s">
        <v>0</v>
      </c>
      <c r="F22" s="62">
        <v>1</v>
      </c>
      <c r="H22" s="63" t="s">
        <v>31</v>
      </c>
      <c r="I22" s="9"/>
      <c r="J22" s="11"/>
    </row>
    <row r="23" spans="5:10" ht="15.75">
      <c r="E23" s="64" t="s">
        <v>1</v>
      </c>
      <c r="F23" s="65">
        <f>F19</f>
        <v>30216.112</v>
      </c>
      <c r="G23" s="66"/>
      <c r="H23" s="66" t="s">
        <v>34</v>
      </c>
      <c r="I23" s="9"/>
      <c r="J23" s="11"/>
    </row>
    <row r="24" spans="5:10" ht="15.75">
      <c r="E24" s="35" t="s">
        <v>2</v>
      </c>
      <c r="F24" s="67">
        <f>SUM(F21*F22*1000000/F23)</f>
        <v>11.765246303031972</v>
      </c>
      <c r="G24" s="4"/>
      <c r="H24" s="9" t="s">
        <v>26</v>
      </c>
      <c r="I24" s="9"/>
      <c r="J24" s="11"/>
    </row>
    <row r="25" spans="5:10" ht="15.75">
      <c r="E25" s="35"/>
      <c r="F25" s="16"/>
      <c r="H25" s="9"/>
      <c r="I25" s="9"/>
      <c r="J25" s="31"/>
    </row>
    <row r="26" spans="5:10" ht="15.75">
      <c r="E26" s="35"/>
      <c r="F26" s="14">
        <f>F19</f>
        <v>30216.112</v>
      </c>
      <c r="H26" s="7" t="s">
        <v>34</v>
      </c>
      <c r="I26" s="9"/>
      <c r="J26" s="11"/>
    </row>
    <row r="27" spans="5:10" ht="15.75">
      <c r="E27" s="41" t="s">
        <v>1</v>
      </c>
      <c r="F27" s="12">
        <f>Input!E6</f>
        <v>3413</v>
      </c>
      <c r="G27" s="13"/>
      <c r="H27" s="10" t="s">
        <v>27</v>
      </c>
      <c r="I27" s="9"/>
      <c r="J27" s="11"/>
    </row>
    <row r="28" spans="5:10" ht="15.75">
      <c r="E28" s="36" t="s">
        <v>2</v>
      </c>
      <c r="F28" s="49">
        <f>SUM(F26/F27)</f>
        <v>8.85324113682977</v>
      </c>
      <c r="H28" s="7" t="s">
        <v>36</v>
      </c>
      <c r="I28" s="9"/>
      <c r="J28" s="11"/>
    </row>
    <row r="29" spans="5:10" ht="15.75">
      <c r="E29" s="35"/>
      <c r="F29" s="16"/>
      <c r="H29" s="9"/>
      <c r="I29" s="9"/>
      <c r="J29" s="31"/>
    </row>
    <row r="30" spans="5:10" ht="15.75">
      <c r="E30" s="35"/>
      <c r="F30" s="60">
        <f>F21</f>
        <v>0.3555</v>
      </c>
      <c r="H30" s="7" t="s">
        <v>35</v>
      </c>
      <c r="I30" s="9"/>
      <c r="J30" s="11"/>
    </row>
    <row r="31" spans="5:10" ht="15.75">
      <c r="E31" s="41" t="s">
        <v>1</v>
      </c>
      <c r="F31" s="53">
        <f>F28</f>
        <v>8.85324113682977</v>
      </c>
      <c r="G31" s="13"/>
      <c r="H31" s="7" t="s">
        <v>36</v>
      </c>
      <c r="I31" s="9"/>
      <c r="J31" s="11"/>
    </row>
    <row r="32" spans="5:10" ht="15.75">
      <c r="E32" s="35" t="s">
        <v>2</v>
      </c>
      <c r="F32" s="54">
        <f>SUM(F30/F31)</f>
        <v>0.04015478563224811</v>
      </c>
      <c r="G32" s="4"/>
      <c r="H32" s="9" t="s">
        <v>29</v>
      </c>
      <c r="I32" s="9"/>
      <c r="J32" s="11"/>
    </row>
    <row r="33" spans="5:10" ht="15.75">
      <c r="E33" s="35"/>
      <c r="F33" s="54"/>
      <c r="G33" s="4"/>
      <c r="H33" s="9"/>
      <c r="I33" s="9"/>
      <c r="J33" s="31"/>
    </row>
    <row r="34" spans="3:10" ht="15.75">
      <c r="C34" s="4" t="str">
        <f>" 1.03 "&amp;Input!B8&amp;""</f>
        <v> 1.03 Natural Gas - Low Efficiency</v>
      </c>
      <c r="E34" s="36"/>
      <c r="F34" s="14">
        <f>Input!E8</f>
        <v>32843.6</v>
      </c>
      <c r="H34" s="7" t="s">
        <v>33</v>
      </c>
      <c r="I34" s="9"/>
      <c r="J34" s="11"/>
    </row>
    <row r="35" spans="3:10" ht="15.75">
      <c r="C35" s="4"/>
      <c r="E35" s="41" t="s">
        <v>0</v>
      </c>
      <c r="F35" s="51">
        <f>Input!H8</f>
        <v>0.75</v>
      </c>
      <c r="G35" s="13"/>
      <c r="H35" s="10" t="s">
        <v>22</v>
      </c>
      <c r="I35" s="9"/>
      <c r="J35" s="11"/>
    </row>
    <row r="36" spans="5:10" ht="15.75">
      <c r="E36" s="35" t="s">
        <v>2</v>
      </c>
      <c r="F36" s="50">
        <f>SUM(F34*F35)</f>
        <v>24632.699999999997</v>
      </c>
      <c r="G36" s="4"/>
      <c r="H36" s="9" t="s">
        <v>34</v>
      </c>
      <c r="I36" s="9"/>
      <c r="J36" s="11"/>
    </row>
    <row r="37" spans="5:10" ht="15.75">
      <c r="E37" s="35"/>
      <c r="F37" s="16"/>
      <c r="H37" s="9"/>
      <c r="I37" s="9"/>
      <c r="J37" s="31"/>
    </row>
    <row r="38" spans="5:10" ht="15.75">
      <c r="E38" s="35"/>
      <c r="F38" s="60">
        <f>Input!C8</f>
        <v>0.355</v>
      </c>
      <c r="H38" s="7" t="s">
        <v>35</v>
      </c>
      <c r="I38" s="9"/>
      <c r="J38" s="11"/>
    </row>
    <row r="39" spans="5:10" ht="15.75">
      <c r="E39" s="61" t="s">
        <v>0</v>
      </c>
      <c r="F39" s="62">
        <v>1</v>
      </c>
      <c r="H39" s="63" t="s">
        <v>31</v>
      </c>
      <c r="I39" s="9"/>
      <c r="J39" s="11"/>
    </row>
    <row r="40" spans="5:10" ht="15.75">
      <c r="E40" s="64" t="s">
        <v>1</v>
      </c>
      <c r="F40" s="65">
        <f>F36</f>
        <v>24632.699999999997</v>
      </c>
      <c r="G40" s="66"/>
      <c r="H40" s="66" t="s">
        <v>34</v>
      </c>
      <c r="I40" s="9"/>
      <c r="J40" s="11"/>
    </row>
    <row r="41" spans="5:10" ht="15.75">
      <c r="E41" s="35" t="s">
        <v>2</v>
      </c>
      <c r="F41" s="67">
        <f>SUM(F38*F39*1000000/F40)</f>
        <v>14.411737243582719</v>
      </c>
      <c r="G41" s="4"/>
      <c r="H41" s="9" t="s">
        <v>26</v>
      </c>
      <c r="I41" s="9"/>
      <c r="J41" s="11"/>
    </row>
    <row r="42" spans="5:10" ht="15.75">
      <c r="E42" s="35"/>
      <c r="F42" s="16"/>
      <c r="H42" s="9"/>
      <c r="I42" s="9"/>
      <c r="J42" s="31"/>
    </row>
    <row r="43" spans="5:10" ht="15.75">
      <c r="E43" s="35"/>
      <c r="F43" s="14">
        <f>F36</f>
        <v>24632.699999999997</v>
      </c>
      <c r="H43" s="7" t="s">
        <v>34</v>
      </c>
      <c r="I43" s="9"/>
      <c r="J43" s="11"/>
    </row>
    <row r="44" spans="5:10" ht="15.75">
      <c r="E44" s="41" t="s">
        <v>1</v>
      </c>
      <c r="F44" s="12">
        <f>Input!E6</f>
        <v>3413</v>
      </c>
      <c r="G44" s="13"/>
      <c r="H44" s="10" t="s">
        <v>27</v>
      </c>
      <c r="I44" s="9"/>
      <c r="J44" s="11"/>
    </row>
    <row r="45" spans="5:10" ht="15.75">
      <c r="E45" s="36" t="s">
        <v>2</v>
      </c>
      <c r="F45" s="49">
        <f>SUM(F43/F44)</f>
        <v>7.217316144154702</v>
      </c>
      <c r="H45" s="7" t="s">
        <v>36</v>
      </c>
      <c r="I45" s="9"/>
      <c r="J45" s="11"/>
    </row>
    <row r="46" spans="5:10" ht="15.75">
      <c r="E46" s="35"/>
      <c r="F46" s="16"/>
      <c r="H46" s="9"/>
      <c r="I46" s="9"/>
      <c r="J46" s="31"/>
    </row>
    <row r="47" spans="5:10" ht="15.75">
      <c r="E47" s="35"/>
      <c r="F47" s="60">
        <f>F38</f>
        <v>0.355</v>
      </c>
      <c r="H47" s="7" t="s">
        <v>35</v>
      </c>
      <c r="I47" s="9"/>
      <c r="J47" s="11"/>
    </row>
    <row r="48" spans="5:10" ht="15.75">
      <c r="E48" s="41" t="s">
        <v>1</v>
      </c>
      <c r="F48" s="53">
        <f>F45</f>
        <v>7.217316144154702</v>
      </c>
      <c r="G48" s="13"/>
      <c r="H48" s="7" t="s">
        <v>36</v>
      </c>
      <c r="I48" s="9"/>
      <c r="J48" s="11"/>
    </row>
    <row r="49" spans="5:10" ht="15.75">
      <c r="E49" s="35" t="s">
        <v>2</v>
      </c>
      <c r="F49" s="54">
        <f>SUM(F47/F48)</f>
        <v>0.04918725921234782</v>
      </c>
      <c r="G49" s="4"/>
      <c r="H49" s="9" t="s">
        <v>29</v>
      </c>
      <c r="I49" s="9"/>
      <c r="J49" s="11"/>
    </row>
    <row r="50" spans="5:10" ht="15.75">
      <c r="E50" s="36"/>
      <c r="F50" s="54"/>
      <c r="G50" s="4"/>
      <c r="H50" s="9"/>
      <c r="I50" s="9"/>
      <c r="J50" s="11"/>
    </row>
    <row r="51" spans="3:10" ht="15.75">
      <c r="C51" s="4" t="str">
        <f>" 1.04 "&amp;Input!B9&amp;""</f>
        <v> 1.04 Coal - lignite</v>
      </c>
      <c r="E51" s="7"/>
      <c r="F51" s="14">
        <f>Input!E9</f>
        <v>6900</v>
      </c>
      <c r="H51" s="2" t="str">
        <f>"Btu per "&amp;Input!F6&amp;""</f>
        <v>Btu per kWh</v>
      </c>
      <c r="J51" s="11"/>
    </row>
    <row r="52" spans="5:10" ht="15">
      <c r="E52" s="41" t="s">
        <v>0</v>
      </c>
      <c r="F52" s="112">
        <f>SUM(1-(Input!G9))</f>
        <v>0.88</v>
      </c>
      <c r="H52" s="13" t="s">
        <v>19</v>
      </c>
      <c r="J52" s="11"/>
    </row>
    <row r="53" spans="5:10" ht="15">
      <c r="E53" s="36" t="s">
        <v>2</v>
      </c>
      <c r="F53" s="49">
        <f>SUM(F51*F52)</f>
        <v>6072</v>
      </c>
      <c r="H53" s="2" t="s">
        <v>90</v>
      </c>
      <c r="J53" s="15"/>
    </row>
    <row r="54" spans="5:10" ht="15">
      <c r="E54" s="41" t="s">
        <v>0</v>
      </c>
      <c r="F54" s="12">
        <v>2000</v>
      </c>
      <c r="G54" s="13"/>
      <c r="H54" s="13" t="s">
        <v>20</v>
      </c>
      <c r="I54" s="13"/>
      <c r="J54" s="15"/>
    </row>
    <row r="55" spans="5:10" ht="15.75">
      <c r="E55" s="36" t="s">
        <v>2</v>
      </c>
      <c r="F55" s="14">
        <f>SUM(F53*F54)</f>
        <v>12144000</v>
      </c>
      <c r="H55" s="7" t="s">
        <v>23</v>
      </c>
      <c r="I55" s="9"/>
      <c r="J55" s="11"/>
    </row>
    <row r="56" spans="5:10" ht="15.75">
      <c r="E56" s="41" t="s">
        <v>0</v>
      </c>
      <c r="F56" s="51">
        <f>Input!H9</f>
        <v>0.65</v>
      </c>
      <c r="G56" s="13"/>
      <c r="H56" s="10" t="s">
        <v>22</v>
      </c>
      <c r="I56" s="9"/>
      <c r="J56" s="11"/>
    </row>
    <row r="57" spans="5:10" ht="15.75">
      <c r="E57" s="35" t="s">
        <v>2</v>
      </c>
      <c r="F57" s="50">
        <f>SUM(F55*F56)</f>
        <v>7893600</v>
      </c>
      <c r="G57" s="4"/>
      <c r="H57" s="9" t="s">
        <v>24</v>
      </c>
      <c r="I57" s="9"/>
      <c r="J57" s="11"/>
    </row>
    <row r="58" spans="5:10" ht="15.75">
      <c r="E58" s="35"/>
      <c r="F58" s="50"/>
      <c r="G58" s="4"/>
      <c r="H58" s="9"/>
      <c r="I58" s="9"/>
      <c r="J58" s="31"/>
    </row>
    <row r="59" spans="5:10" ht="15.75">
      <c r="E59" s="35"/>
      <c r="F59" s="3">
        <f>Input!C9</f>
        <v>100</v>
      </c>
      <c r="H59" s="7" t="s">
        <v>25</v>
      </c>
      <c r="I59" s="9"/>
      <c r="J59" s="11"/>
    </row>
    <row r="60" spans="5:10" ht="15.75">
      <c r="E60" s="41" t="s">
        <v>1</v>
      </c>
      <c r="F60" s="52">
        <f>F57/1000000</f>
        <v>7.8936</v>
      </c>
      <c r="G60" s="13"/>
      <c r="H60" s="10" t="s">
        <v>21</v>
      </c>
      <c r="I60" s="9"/>
      <c r="J60" s="11"/>
    </row>
    <row r="61" spans="5:10" ht="15.75">
      <c r="E61" s="35" t="s">
        <v>2</v>
      </c>
      <c r="F61" s="16">
        <f>SUM(F59/F60)</f>
        <v>12.668490929360495</v>
      </c>
      <c r="G61" s="4"/>
      <c r="H61" s="9" t="s">
        <v>26</v>
      </c>
      <c r="I61" s="9"/>
      <c r="J61" s="11"/>
    </row>
    <row r="62" spans="5:10" ht="15.75">
      <c r="E62" s="35"/>
      <c r="F62" s="16"/>
      <c r="H62" s="9"/>
      <c r="I62" s="9"/>
      <c r="J62" s="31"/>
    </row>
    <row r="63" spans="5:10" ht="15.75">
      <c r="E63" s="35"/>
      <c r="F63" s="14">
        <f>F57</f>
        <v>7893600</v>
      </c>
      <c r="H63" s="7" t="s">
        <v>24</v>
      </c>
      <c r="I63" s="9"/>
      <c r="J63" s="11"/>
    </row>
    <row r="64" spans="5:10" ht="15.75">
      <c r="E64" s="41" t="s">
        <v>1</v>
      </c>
      <c r="F64" s="12">
        <f>Input!E6</f>
        <v>3413</v>
      </c>
      <c r="G64" s="13"/>
      <c r="H64" s="10" t="s">
        <v>27</v>
      </c>
      <c r="I64" s="9"/>
      <c r="J64" s="11"/>
    </row>
    <row r="65" spans="5:10" ht="15.75">
      <c r="E65" s="36" t="s">
        <v>2</v>
      </c>
      <c r="F65" s="49">
        <f>SUM(F63/F64)</f>
        <v>2312.803984764137</v>
      </c>
      <c r="H65" s="7" t="s">
        <v>28</v>
      </c>
      <c r="I65" s="9"/>
      <c r="J65" s="11"/>
    </row>
    <row r="66" spans="5:10" ht="15.75">
      <c r="E66" s="35"/>
      <c r="F66" s="16"/>
      <c r="H66" s="9"/>
      <c r="I66" s="9"/>
      <c r="J66" s="31"/>
    </row>
    <row r="67" spans="5:10" ht="15.75">
      <c r="E67" s="35"/>
      <c r="F67" s="3">
        <f>F59</f>
        <v>100</v>
      </c>
      <c r="H67" s="7" t="s">
        <v>25</v>
      </c>
      <c r="I67" s="9"/>
      <c r="J67" s="11"/>
    </row>
    <row r="68" spans="5:10" ht="15.75">
      <c r="E68" s="41" t="s">
        <v>1</v>
      </c>
      <c r="F68" s="53">
        <f>F65</f>
        <v>2312.803984764137</v>
      </c>
      <c r="G68" s="13"/>
      <c r="H68" s="7" t="s">
        <v>28</v>
      </c>
      <c r="I68" s="9"/>
      <c r="J68" s="11"/>
    </row>
    <row r="69" spans="5:10" ht="15.75">
      <c r="E69" s="35" t="s">
        <v>2</v>
      </c>
      <c r="F69" s="54">
        <f>SUM(F67/F68)</f>
        <v>0.04323755954190737</v>
      </c>
      <c r="G69" s="4"/>
      <c r="H69" s="9" t="s">
        <v>29</v>
      </c>
      <c r="I69" s="9"/>
      <c r="J69" s="11"/>
    </row>
    <row r="70" spans="5:10" ht="15.75">
      <c r="E70" s="35"/>
      <c r="F70" s="54"/>
      <c r="G70" s="4"/>
      <c r="H70" s="9"/>
      <c r="I70" s="9"/>
      <c r="J70" s="31"/>
    </row>
    <row r="71" spans="3:10" ht="15.75">
      <c r="C71" s="4" t="str">
        <f>" 1.05 "&amp;Input!B10&amp;""</f>
        <v> 1.05 # 2 Diesel Fuel Oil</v>
      </c>
      <c r="E71" s="36"/>
      <c r="F71" s="14">
        <f>Input!E10</f>
        <v>36984.2</v>
      </c>
      <c r="H71" s="7" t="s">
        <v>74</v>
      </c>
      <c r="I71" s="9"/>
      <c r="J71" s="11"/>
    </row>
    <row r="72" spans="3:10" ht="15.75">
      <c r="C72" s="4"/>
      <c r="E72" s="41" t="s">
        <v>0</v>
      </c>
      <c r="F72" s="51">
        <f>Input!H10</f>
        <v>0.7</v>
      </c>
      <c r="G72" s="13"/>
      <c r="H72" s="10" t="s">
        <v>22</v>
      </c>
      <c r="I72" s="9"/>
      <c r="J72" s="11"/>
    </row>
    <row r="73" spans="5:10" ht="15.75">
      <c r="E73" s="35" t="s">
        <v>2</v>
      </c>
      <c r="F73" s="50">
        <f>SUM(F71*F72)</f>
        <v>25888.939999999995</v>
      </c>
      <c r="G73" s="4"/>
      <c r="H73" s="9" t="s">
        <v>75</v>
      </c>
      <c r="I73" s="9"/>
      <c r="J73" s="11"/>
    </row>
    <row r="74" spans="5:10" ht="15.75">
      <c r="E74" s="35"/>
      <c r="F74" s="16"/>
      <c r="H74" s="9"/>
      <c r="I74" s="9"/>
      <c r="J74" s="31"/>
    </row>
    <row r="75" spans="5:10" ht="15.75">
      <c r="E75" s="35"/>
      <c r="F75" s="60">
        <f>Input!C10</f>
        <v>0.98</v>
      </c>
      <c r="H75" s="7" t="s">
        <v>76</v>
      </c>
      <c r="I75" s="9"/>
      <c r="J75" s="11"/>
    </row>
    <row r="76" spans="5:10" ht="15.75">
      <c r="E76" s="61" t="s">
        <v>0</v>
      </c>
      <c r="F76" s="62">
        <v>1</v>
      </c>
      <c r="H76" s="63" t="s">
        <v>31</v>
      </c>
      <c r="I76" s="9"/>
      <c r="J76" s="11"/>
    </row>
    <row r="77" spans="5:10" ht="15.75">
      <c r="E77" s="64" t="s">
        <v>1</v>
      </c>
      <c r="F77" s="65">
        <f>F73</f>
        <v>25888.939999999995</v>
      </c>
      <c r="G77" s="66"/>
      <c r="H77" s="66" t="s">
        <v>75</v>
      </c>
      <c r="I77" s="9"/>
      <c r="J77" s="11"/>
    </row>
    <row r="78" spans="5:10" ht="15.75">
      <c r="E78" s="35" t="s">
        <v>2</v>
      </c>
      <c r="F78" s="67">
        <f>SUM(F75*F76*1000000/F77)</f>
        <v>37.854002519995035</v>
      </c>
      <c r="G78" s="4"/>
      <c r="H78" s="9" t="s">
        <v>26</v>
      </c>
      <c r="I78" s="9"/>
      <c r="J78" s="11"/>
    </row>
    <row r="79" spans="5:10" ht="15.75">
      <c r="E79" s="35"/>
      <c r="F79" s="16"/>
      <c r="H79" s="9"/>
      <c r="I79" s="9"/>
      <c r="J79" s="31"/>
    </row>
    <row r="80" spans="5:10" ht="15.75">
      <c r="E80" s="35"/>
      <c r="F80" s="14">
        <f>F73</f>
        <v>25888.939999999995</v>
      </c>
      <c r="H80" s="7" t="s">
        <v>75</v>
      </c>
      <c r="I80" s="9"/>
      <c r="J80" s="11"/>
    </row>
    <row r="81" spans="5:10" ht="15.75">
      <c r="E81" s="41" t="s">
        <v>1</v>
      </c>
      <c r="F81" s="12">
        <f>Input!E6</f>
        <v>3413</v>
      </c>
      <c r="G81" s="13"/>
      <c r="H81" s="10" t="s">
        <v>27</v>
      </c>
      <c r="I81" s="9"/>
      <c r="J81" s="11"/>
    </row>
    <row r="82" spans="5:10" ht="15.75">
      <c r="E82" s="36" t="s">
        <v>2</v>
      </c>
      <c r="F82" s="49">
        <f>SUM(F80/F81)</f>
        <v>7.5853911514796355</v>
      </c>
      <c r="H82" s="7" t="s">
        <v>77</v>
      </c>
      <c r="I82" s="9"/>
      <c r="J82" s="11"/>
    </row>
    <row r="83" spans="5:10" ht="15.75">
      <c r="E83" s="35"/>
      <c r="F83" s="16"/>
      <c r="H83" s="9"/>
      <c r="I83" s="9"/>
      <c r="J83" s="31"/>
    </row>
    <row r="84" spans="5:10" ht="15.75">
      <c r="E84" s="35"/>
      <c r="F84" s="60">
        <f>F75</f>
        <v>0.98</v>
      </c>
      <c r="H84" s="7" t="s">
        <v>76</v>
      </c>
      <c r="I84" s="9"/>
      <c r="J84" s="11"/>
    </row>
    <row r="85" spans="5:10" ht="15.75">
      <c r="E85" s="41" t="s">
        <v>1</v>
      </c>
      <c r="F85" s="53">
        <f>F82</f>
        <v>7.5853911514796355</v>
      </c>
      <c r="G85" s="13"/>
      <c r="H85" s="7" t="s">
        <v>77</v>
      </c>
      <c r="I85" s="9"/>
      <c r="J85" s="11"/>
    </row>
    <row r="86" spans="5:10" ht="15.75">
      <c r="E86" s="35" t="s">
        <v>2</v>
      </c>
      <c r="F86" s="54">
        <f>SUM(F84/F85)</f>
        <v>0.12919571060074303</v>
      </c>
      <c r="G86" s="4"/>
      <c r="H86" s="9" t="s">
        <v>29</v>
      </c>
      <c r="I86" s="9"/>
      <c r="J86" s="11"/>
    </row>
    <row r="87" spans="5:10" ht="15.75">
      <c r="E87" s="35"/>
      <c r="F87" s="54"/>
      <c r="G87" s="4"/>
      <c r="H87" s="9"/>
      <c r="I87" s="9"/>
      <c r="J87" s="31"/>
    </row>
    <row r="88" spans="3:10" ht="15.75">
      <c r="C88" s="4" t="str">
        <f>" 1.06 "&amp;Input!B11&amp;""</f>
        <v> 1.06 Wheat Straw cubes</v>
      </c>
      <c r="E88" s="7"/>
      <c r="F88" s="14">
        <f>Input!E11</f>
        <v>7713</v>
      </c>
      <c r="H88" s="2" t="s">
        <v>18</v>
      </c>
      <c r="I88" s="9"/>
      <c r="J88" s="11"/>
    </row>
    <row r="89" spans="5:10" ht="15.75">
      <c r="E89" s="41" t="s">
        <v>0</v>
      </c>
      <c r="F89" s="112">
        <f>SUM(1-(Input!G11))</f>
        <v>0.89</v>
      </c>
      <c r="H89" s="13" t="s">
        <v>19</v>
      </c>
      <c r="I89" s="9"/>
      <c r="J89" s="11"/>
    </row>
    <row r="90" spans="5:10" ht="15.75">
      <c r="E90" s="36" t="s">
        <v>2</v>
      </c>
      <c r="F90" s="49">
        <f>SUM(F88*F89)</f>
        <v>6864.57</v>
      </c>
      <c r="H90" s="2" t="s">
        <v>91</v>
      </c>
      <c r="I90" s="9"/>
      <c r="J90" s="11"/>
    </row>
    <row r="91" spans="5:10" ht="15.75">
      <c r="E91" s="41" t="s">
        <v>0</v>
      </c>
      <c r="F91" s="12">
        <v>2000</v>
      </c>
      <c r="G91" s="13"/>
      <c r="H91" s="13" t="s">
        <v>20</v>
      </c>
      <c r="I91" s="9"/>
      <c r="J91" s="11"/>
    </row>
    <row r="92" spans="5:10" ht="15.75">
      <c r="E92" s="36" t="s">
        <v>2</v>
      </c>
      <c r="F92" s="14">
        <f>SUM(F90*F91)</f>
        <v>13729140</v>
      </c>
      <c r="H92" s="7" t="s">
        <v>23</v>
      </c>
      <c r="I92" s="9"/>
      <c r="J92" s="11"/>
    </row>
    <row r="93" spans="5:10" ht="15.75">
      <c r="E93" s="41" t="s">
        <v>0</v>
      </c>
      <c r="F93" s="51">
        <f>Input!H11</f>
        <v>0.65</v>
      </c>
      <c r="G93" s="13"/>
      <c r="H93" s="10" t="s">
        <v>22</v>
      </c>
      <c r="I93" s="9"/>
      <c r="J93" s="11"/>
    </row>
    <row r="94" spans="5:10" ht="15.75">
      <c r="E94" s="35" t="s">
        <v>2</v>
      </c>
      <c r="F94" s="50">
        <f>SUM(F92*F93)</f>
        <v>8923941</v>
      </c>
      <c r="G94" s="4"/>
      <c r="H94" s="9" t="s">
        <v>24</v>
      </c>
      <c r="I94" s="9"/>
      <c r="J94" s="11"/>
    </row>
    <row r="95" spans="5:10" ht="15.75">
      <c r="E95" s="35"/>
      <c r="F95" s="16"/>
      <c r="H95" s="9"/>
      <c r="I95" s="9"/>
      <c r="J95" s="31"/>
    </row>
    <row r="96" spans="5:10" ht="15.75">
      <c r="E96" s="35"/>
      <c r="F96" s="3">
        <f>Input!C11</f>
        <v>85.33</v>
      </c>
      <c r="H96" s="7" t="s">
        <v>25</v>
      </c>
      <c r="I96" s="9"/>
      <c r="J96" s="11"/>
    </row>
    <row r="97" spans="5:10" ht="15.75">
      <c r="E97" s="41" t="s">
        <v>1</v>
      </c>
      <c r="F97" s="52">
        <f>F94/1000000</f>
        <v>8.923941</v>
      </c>
      <c r="G97" s="13"/>
      <c r="H97" s="10" t="s">
        <v>21</v>
      </c>
      <c r="I97" s="9"/>
      <c r="J97" s="11"/>
    </row>
    <row r="98" spans="5:10" ht="15.75">
      <c r="E98" s="35" t="s">
        <v>2</v>
      </c>
      <c r="F98" s="16">
        <f>SUM(F96/F97)</f>
        <v>9.561918887630476</v>
      </c>
      <c r="G98" s="4"/>
      <c r="H98" s="9" t="s">
        <v>26</v>
      </c>
      <c r="J98" s="11"/>
    </row>
    <row r="99" spans="5:10" ht="15.75">
      <c r="E99" s="35"/>
      <c r="F99" s="16"/>
      <c r="H99" s="9"/>
      <c r="J99" s="31"/>
    </row>
    <row r="100" spans="5:10" ht="15.75">
      <c r="E100" s="35"/>
      <c r="F100" s="14">
        <f>F94</f>
        <v>8923941</v>
      </c>
      <c r="H100" s="7" t="s">
        <v>24</v>
      </c>
      <c r="J100" s="15"/>
    </row>
    <row r="101" spans="5:10" ht="15">
      <c r="E101" s="41" t="s">
        <v>1</v>
      </c>
      <c r="F101" s="12">
        <f>Input!E6</f>
        <v>3413</v>
      </c>
      <c r="G101" s="13"/>
      <c r="H101" s="10" t="s">
        <v>27</v>
      </c>
      <c r="I101" s="13"/>
      <c r="J101" s="15"/>
    </row>
    <row r="102" spans="5:10" ht="15.75">
      <c r="E102" s="36" t="s">
        <v>2</v>
      </c>
      <c r="F102" s="49">
        <f>SUM(F100/F101)</f>
        <v>2614.691180779373</v>
      </c>
      <c r="H102" s="7" t="s">
        <v>28</v>
      </c>
      <c r="I102" s="9"/>
      <c r="J102" s="11"/>
    </row>
    <row r="103" spans="5:10" ht="15.75">
      <c r="E103" s="35"/>
      <c r="F103" s="16"/>
      <c r="H103" s="9"/>
      <c r="I103" s="9"/>
      <c r="J103" s="31"/>
    </row>
    <row r="104" spans="5:10" ht="15.75">
      <c r="E104" s="35"/>
      <c r="F104" s="3">
        <f>F96</f>
        <v>85.33</v>
      </c>
      <c r="H104" s="7" t="s">
        <v>25</v>
      </c>
      <c r="I104" s="9"/>
      <c r="J104" s="11"/>
    </row>
    <row r="105" spans="5:10" ht="15.75">
      <c r="E105" s="41" t="s">
        <v>1</v>
      </c>
      <c r="F105" s="53">
        <f>F102</f>
        <v>2614.691180779373</v>
      </c>
      <c r="G105" s="13"/>
      <c r="H105" s="7" t="s">
        <v>28</v>
      </c>
      <c r="I105" s="9"/>
      <c r="J105" s="11"/>
    </row>
    <row r="106" spans="5:10" ht="15.75">
      <c r="E106" s="35" t="s">
        <v>2</v>
      </c>
      <c r="F106" s="54">
        <f>SUM(F104/F105)</f>
        <v>0.032634829163482815</v>
      </c>
      <c r="G106" s="4"/>
      <c r="H106" s="9" t="s">
        <v>29</v>
      </c>
      <c r="I106" s="9"/>
      <c r="J106" s="11"/>
    </row>
    <row r="107" spans="5:10" ht="15.75">
      <c r="E107" s="35"/>
      <c r="F107" s="54"/>
      <c r="G107" s="4"/>
      <c r="H107" s="9"/>
      <c r="I107" s="9"/>
      <c r="J107" s="31"/>
    </row>
    <row r="108" spans="3:10" ht="15.75">
      <c r="C108" s="4" t="str">
        <f>" 1.07 "&amp;Input!B12&amp;""</f>
        <v> 1.07 Flax Straw cubes</v>
      </c>
      <c r="E108" s="7"/>
      <c r="F108" s="14">
        <f>Input!E12</f>
        <v>8587</v>
      </c>
      <c r="H108" s="2" t="s">
        <v>18</v>
      </c>
      <c r="I108" s="9"/>
      <c r="J108" s="11"/>
    </row>
    <row r="109" spans="5:10" ht="15.75">
      <c r="E109" s="41" t="s">
        <v>0</v>
      </c>
      <c r="F109" s="112">
        <f>SUM(1-(Input!G12))</f>
        <v>0.87</v>
      </c>
      <c r="H109" s="13" t="s">
        <v>19</v>
      </c>
      <c r="I109" s="9"/>
      <c r="J109" s="11"/>
    </row>
    <row r="110" spans="5:10" ht="15.75">
      <c r="E110" s="36" t="s">
        <v>2</v>
      </c>
      <c r="F110" s="49">
        <f>SUM(F108*F109)</f>
        <v>7470.69</v>
      </c>
      <c r="H110" s="2" t="s">
        <v>91</v>
      </c>
      <c r="I110" s="9"/>
      <c r="J110" s="11"/>
    </row>
    <row r="111" spans="5:10" ht="15.75">
      <c r="E111" s="41" t="s">
        <v>0</v>
      </c>
      <c r="F111" s="12">
        <v>2000</v>
      </c>
      <c r="G111" s="13"/>
      <c r="H111" s="13" t="s">
        <v>20</v>
      </c>
      <c r="I111" s="9"/>
      <c r="J111" s="11"/>
    </row>
    <row r="112" spans="5:10" ht="15.75">
      <c r="E112" s="36" t="s">
        <v>2</v>
      </c>
      <c r="F112" s="14">
        <f>SUM(F110*F111)</f>
        <v>14941380</v>
      </c>
      <c r="H112" s="7" t="s">
        <v>23</v>
      </c>
      <c r="I112" s="9"/>
      <c r="J112" s="11"/>
    </row>
    <row r="113" spans="5:10" ht="15.75">
      <c r="E113" s="41" t="s">
        <v>0</v>
      </c>
      <c r="F113" s="51">
        <f>Input!H17</f>
        <v>0.65</v>
      </c>
      <c r="G113" s="13"/>
      <c r="H113" s="10" t="s">
        <v>22</v>
      </c>
      <c r="I113" s="9"/>
      <c r="J113" s="11"/>
    </row>
    <row r="114" spans="5:10" ht="15.75">
      <c r="E114" s="35" t="s">
        <v>2</v>
      </c>
      <c r="F114" s="50">
        <f>SUM(F112*F113)</f>
        <v>9711897</v>
      </c>
      <c r="G114" s="4"/>
      <c r="H114" s="9" t="s">
        <v>24</v>
      </c>
      <c r="I114" s="9"/>
      <c r="J114" s="11"/>
    </row>
    <row r="115" spans="5:10" ht="15.75">
      <c r="E115" s="35"/>
      <c r="F115" s="16"/>
      <c r="H115" s="9"/>
      <c r="I115" s="9"/>
      <c r="J115" s="31"/>
    </row>
    <row r="116" spans="5:10" ht="15.75">
      <c r="E116" s="35"/>
      <c r="F116" s="3">
        <f>Input!C12</f>
        <v>79.66</v>
      </c>
      <c r="H116" s="7" t="s">
        <v>25</v>
      </c>
      <c r="I116" s="9"/>
      <c r="J116" s="11"/>
    </row>
    <row r="117" spans="5:10" ht="15.75">
      <c r="E117" s="41" t="s">
        <v>1</v>
      </c>
      <c r="F117" s="52">
        <f>F114/1000000</f>
        <v>9.711897</v>
      </c>
      <c r="G117" s="13"/>
      <c r="H117" s="10" t="s">
        <v>21</v>
      </c>
      <c r="I117" s="9"/>
      <c r="J117" s="11"/>
    </row>
    <row r="118" spans="5:10" ht="15.75">
      <c r="E118" s="35" t="s">
        <v>2</v>
      </c>
      <c r="F118" s="16">
        <f>SUM(F116/F117)</f>
        <v>8.202311041807794</v>
      </c>
      <c r="G118" s="4"/>
      <c r="H118" s="9" t="s">
        <v>26</v>
      </c>
      <c r="J118" s="11"/>
    </row>
    <row r="119" spans="5:10" ht="15.75">
      <c r="E119" s="35"/>
      <c r="F119" s="16"/>
      <c r="H119" s="9"/>
      <c r="J119" s="31"/>
    </row>
    <row r="120" spans="5:10" ht="15.75">
      <c r="E120" s="35"/>
      <c r="F120" s="14">
        <f>F114</f>
        <v>9711897</v>
      </c>
      <c r="H120" s="7" t="s">
        <v>24</v>
      </c>
      <c r="J120" s="15"/>
    </row>
    <row r="121" spans="5:10" ht="15">
      <c r="E121" s="41" t="s">
        <v>1</v>
      </c>
      <c r="F121" s="12">
        <f>Input!E6</f>
        <v>3413</v>
      </c>
      <c r="G121" s="13"/>
      <c r="H121" s="10" t="s">
        <v>27</v>
      </c>
      <c r="I121" s="13"/>
      <c r="J121" s="15"/>
    </row>
    <row r="122" spans="5:10" ht="15.75">
      <c r="E122" s="36" t="s">
        <v>2</v>
      </c>
      <c r="F122" s="49">
        <f>SUM(F120/F121)</f>
        <v>2845.5602109581014</v>
      </c>
      <c r="H122" s="7" t="s">
        <v>28</v>
      </c>
      <c r="I122" s="9"/>
      <c r="J122" s="11"/>
    </row>
    <row r="123" spans="5:10" ht="15.75">
      <c r="E123" s="35"/>
      <c r="F123" s="16"/>
      <c r="H123" s="9"/>
      <c r="I123" s="9"/>
      <c r="J123" s="31"/>
    </row>
    <row r="124" spans="5:10" ht="15.75">
      <c r="E124" s="35"/>
      <c r="F124" s="3">
        <f>F116</f>
        <v>79.66</v>
      </c>
      <c r="H124" s="7" t="s">
        <v>25</v>
      </c>
      <c r="I124" s="9"/>
      <c r="J124" s="11"/>
    </row>
    <row r="125" spans="5:10" ht="15.75">
      <c r="E125" s="41" t="s">
        <v>1</v>
      </c>
      <c r="F125" s="53">
        <f>F122</f>
        <v>2845.5602109581014</v>
      </c>
      <c r="G125" s="13"/>
      <c r="H125" s="7" t="s">
        <v>28</v>
      </c>
      <c r="I125" s="9"/>
      <c r="J125" s="11"/>
    </row>
    <row r="126" spans="5:10" ht="15.75">
      <c r="E126" s="35" t="s">
        <v>2</v>
      </c>
      <c r="F126" s="54">
        <f>SUM(F124/F125)</f>
        <v>0.027994487585690002</v>
      </c>
      <c r="G126" s="4"/>
      <c r="H126" s="9" t="s">
        <v>29</v>
      </c>
      <c r="I126" s="9"/>
      <c r="J126" s="11"/>
    </row>
    <row r="127" spans="5:10" ht="15.75">
      <c r="E127" s="35"/>
      <c r="F127" s="54"/>
      <c r="G127" s="4"/>
      <c r="H127" s="9"/>
      <c r="I127" s="9"/>
      <c r="J127" s="31"/>
    </row>
    <row r="128" spans="3:10" ht="15.75">
      <c r="C128" s="4" t="str">
        <f>" 1.08 "&amp;Input!B13&amp;""</f>
        <v> 1.08 Switchgrass Biomass cubes</v>
      </c>
      <c r="E128" s="7"/>
      <c r="F128" s="14">
        <f>Input!E13</f>
        <v>7929</v>
      </c>
      <c r="H128" s="2" t="s">
        <v>18</v>
      </c>
      <c r="I128" s="9"/>
      <c r="J128" s="11"/>
    </row>
    <row r="129" spans="5:10" ht="15.75">
      <c r="E129" s="41" t="s">
        <v>0</v>
      </c>
      <c r="F129" s="112">
        <f>SUM(1-(Input!G13))</f>
        <v>0.87</v>
      </c>
      <c r="H129" s="13" t="s">
        <v>19</v>
      </c>
      <c r="I129" s="9"/>
      <c r="J129" s="11"/>
    </row>
    <row r="130" spans="5:10" ht="15.75">
      <c r="E130" s="36" t="s">
        <v>2</v>
      </c>
      <c r="F130" s="49">
        <f>SUM(F128*F129)</f>
        <v>6898.23</v>
      </c>
      <c r="H130" s="2" t="s">
        <v>91</v>
      </c>
      <c r="I130" s="9"/>
      <c r="J130" s="11"/>
    </row>
    <row r="131" spans="5:10" ht="15.75">
      <c r="E131" s="41" t="s">
        <v>0</v>
      </c>
      <c r="F131" s="12">
        <v>2000</v>
      </c>
      <c r="G131" s="13"/>
      <c r="H131" s="13" t="s">
        <v>20</v>
      </c>
      <c r="I131" s="9"/>
      <c r="J131" s="11"/>
    </row>
    <row r="132" spans="5:10" ht="15.75">
      <c r="E132" s="36" t="s">
        <v>2</v>
      </c>
      <c r="F132" s="14">
        <f>SUM(F130*F131)</f>
        <v>13796460</v>
      </c>
      <c r="H132" s="7" t="s">
        <v>23</v>
      </c>
      <c r="I132" s="9"/>
      <c r="J132" s="11"/>
    </row>
    <row r="133" spans="5:10" ht="15.75">
      <c r="E133" s="41" t="s">
        <v>0</v>
      </c>
      <c r="F133" s="51">
        <f>Input!H13</f>
        <v>0.65</v>
      </c>
      <c r="G133" s="13"/>
      <c r="H133" s="10" t="s">
        <v>22</v>
      </c>
      <c r="I133" s="9"/>
      <c r="J133" s="11"/>
    </row>
    <row r="134" spans="5:10" ht="15.75">
      <c r="E134" s="35" t="s">
        <v>2</v>
      </c>
      <c r="F134" s="50">
        <f>SUM(F132*F133)</f>
        <v>8967699</v>
      </c>
      <c r="G134" s="4"/>
      <c r="H134" s="9" t="s">
        <v>24</v>
      </c>
      <c r="I134" s="9"/>
      <c r="J134" s="11"/>
    </row>
    <row r="135" spans="5:10" ht="15.75">
      <c r="E135" s="35"/>
      <c r="F135" s="16"/>
      <c r="H135" s="9"/>
      <c r="I135" s="9"/>
      <c r="J135" s="31"/>
    </row>
    <row r="136" spans="5:10" ht="15.75">
      <c r="E136" s="35"/>
      <c r="F136" s="3">
        <f>Input!C13</f>
        <v>120</v>
      </c>
      <c r="H136" s="7" t="s">
        <v>25</v>
      </c>
      <c r="I136" s="9"/>
      <c r="J136" s="11"/>
    </row>
    <row r="137" spans="5:10" ht="15.75">
      <c r="E137" s="41" t="s">
        <v>1</v>
      </c>
      <c r="F137" s="52">
        <f>F134/1000000</f>
        <v>8.967699</v>
      </c>
      <c r="G137" s="13"/>
      <c r="H137" s="10" t="s">
        <v>21</v>
      </c>
      <c r="I137" s="9"/>
      <c r="J137" s="11"/>
    </row>
    <row r="138" spans="5:10" ht="15.75">
      <c r="E138" s="35" t="s">
        <v>2</v>
      </c>
      <c r="F138" s="16">
        <f>SUM(F136/F137)</f>
        <v>13.381359030895217</v>
      </c>
      <c r="G138" s="4"/>
      <c r="H138" s="9" t="s">
        <v>26</v>
      </c>
      <c r="J138" s="11"/>
    </row>
    <row r="139" spans="5:10" ht="15.75">
      <c r="E139" s="35"/>
      <c r="F139" s="16"/>
      <c r="H139" s="9"/>
      <c r="J139" s="31"/>
    </row>
    <row r="140" spans="5:10" ht="15.75">
      <c r="E140" s="35"/>
      <c r="F140" s="14">
        <f>F134</f>
        <v>8967699</v>
      </c>
      <c r="H140" s="7" t="s">
        <v>24</v>
      </c>
      <c r="J140" s="15"/>
    </row>
    <row r="141" spans="5:10" ht="15">
      <c r="E141" s="41" t="s">
        <v>1</v>
      </c>
      <c r="F141" s="12">
        <f>Input!E6</f>
        <v>3413</v>
      </c>
      <c r="G141" s="13"/>
      <c r="H141" s="10" t="s">
        <v>27</v>
      </c>
      <c r="I141" s="13"/>
      <c r="J141" s="15"/>
    </row>
    <row r="142" spans="5:10" ht="15.75">
      <c r="E142" s="36" t="s">
        <v>2</v>
      </c>
      <c r="F142" s="49">
        <f>SUM(F140/F141)</f>
        <v>2627.5121593905656</v>
      </c>
      <c r="H142" s="7" t="s">
        <v>28</v>
      </c>
      <c r="I142" s="9"/>
      <c r="J142" s="11"/>
    </row>
    <row r="143" spans="5:10" ht="15.75">
      <c r="E143" s="35"/>
      <c r="F143" s="16"/>
      <c r="H143" s="9"/>
      <c r="I143" s="9"/>
      <c r="J143" s="31"/>
    </row>
    <row r="144" spans="5:10" ht="15.75">
      <c r="E144" s="35"/>
      <c r="F144" s="3">
        <f>F136</f>
        <v>120</v>
      </c>
      <c r="H144" s="7" t="s">
        <v>25</v>
      </c>
      <c r="I144" s="9"/>
      <c r="J144" s="11"/>
    </row>
    <row r="145" spans="5:10" ht="15.75">
      <c r="E145" s="41" t="s">
        <v>1</v>
      </c>
      <c r="F145" s="53">
        <f>F142</f>
        <v>2627.5121593905656</v>
      </c>
      <c r="G145" s="13"/>
      <c r="H145" s="7" t="s">
        <v>28</v>
      </c>
      <c r="I145" s="9"/>
      <c r="J145" s="11"/>
    </row>
    <row r="146" spans="5:10" ht="15.75">
      <c r="E146" s="35" t="s">
        <v>2</v>
      </c>
      <c r="F146" s="54">
        <f>SUM(F144/F145)</f>
        <v>0.04567057837244537</v>
      </c>
      <c r="G146" s="4"/>
      <c r="H146" s="9" t="s">
        <v>29</v>
      </c>
      <c r="I146" s="9"/>
      <c r="J146" s="11"/>
    </row>
    <row r="147" spans="5:10" ht="15.75">
      <c r="E147" s="35"/>
      <c r="F147" s="54"/>
      <c r="G147" s="4"/>
      <c r="H147" s="9"/>
      <c r="I147" s="9"/>
      <c r="J147" s="31"/>
    </row>
    <row r="148" spans="3:10" ht="15.75">
      <c r="C148" s="4" t="str">
        <f>" 1.09 "&amp;Input!B14&amp;""</f>
        <v> 1.09 Hemp Biomass cubes</v>
      </c>
      <c r="E148" s="7"/>
      <c r="F148" s="14">
        <f>Input!E14</f>
        <v>8289</v>
      </c>
      <c r="H148" s="2" t="s">
        <v>18</v>
      </c>
      <c r="I148" s="9"/>
      <c r="J148" s="11"/>
    </row>
    <row r="149" spans="5:10" ht="15.75">
      <c r="E149" s="41" t="s">
        <v>0</v>
      </c>
      <c r="F149" s="112">
        <f>SUM(1-(Input!G14))</f>
        <v>0.88</v>
      </c>
      <c r="H149" s="13" t="s">
        <v>19</v>
      </c>
      <c r="I149" s="9"/>
      <c r="J149" s="11"/>
    </row>
    <row r="150" spans="5:10" ht="15.75">
      <c r="E150" s="36" t="s">
        <v>2</v>
      </c>
      <c r="F150" s="49">
        <f>SUM(F148*F149)</f>
        <v>7294.32</v>
      </c>
      <c r="H150" s="2" t="s">
        <v>91</v>
      </c>
      <c r="I150" s="9"/>
      <c r="J150" s="11"/>
    </row>
    <row r="151" spans="5:10" ht="15.75">
      <c r="E151" s="41" t="s">
        <v>0</v>
      </c>
      <c r="F151" s="12">
        <v>2000</v>
      </c>
      <c r="G151" s="13"/>
      <c r="H151" s="13" t="s">
        <v>20</v>
      </c>
      <c r="I151" s="9"/>
      <c r="J151" s="11"/>
    </row>
    <row r="152" spans="5:10" ht="15.75">
      <c r="E152" s="36" t="s">
        <v>2</v>
      </c>
      <c r="F152" s="14">
        <f>SUM(F150*F151)</f>
        <v>14588640</v>
      </c>
      <c r="H152" s="7" t="s">
        <v>23</v>
      </c>
      <c r="I152" s="9"/>
      <c r="J152" s="11"/>
    </row>
    <row r="153" spans="5:10" ht="15.75">
      <c r="E153" s="41" t="s">
        <v>0</v>
      </c>
      <c r="F153" s="51">
        <f>Input!H14</f>
        <v>0.65</v>
      </c>
      <c r="G153" s="13"/>
      <c r="H153" s="10" t="s">
        <v>22</v>
      </c>
      <c r="I153" s="9"/>
      <c r="J153" s="11"/>
    </row>
    <row r="154" spans="5:10" ht="15.75">
      <c r="E154" s="35" t="s">
        <v>2</v>
      </c>
      <c r="F154" s="50">
        <f>SUM(F152*F153)</f>
        <v>9482616</v>
      </c>
      <c r="G154" s="4"/>
      <c r="H154" s="9" t="s">
        <v>24</v>
      </c>
      <c r="I154" s="9"/>
      <c r="J154" s="11"/>
    </row>
    <row r="155" spans="5:10" ht="15.75">
      <c r="E155" s="35"/>
      <c r="F155" s="16"/>
      <c r="H155" s="9"/>
      <c r="I155" s="9"/>
      <c r="J155" s="31"/>
    </row>
    <row r="156" spans="5:10" ht="15.75">
      <c r="E156" s="35"/>
      <c r="F156" s="3">
        <f>Input!C14</f>
        <v>120</v>
      </c>
      <c r="H156" s="7" t="s">
        <v>25</v>
      </c>
      <c r="I156" s="9"/>
      <c r="J156" s="11"/>
    </row>
    <row r="157" spans="5:10" ht="15.75">
      <c r="E157" s="41" t="s">
        <v>1</v>
      </c>
      <c r="F157" s="52">
        <f>F154/1000000</f>
        <v>9.482616</v>
      </c>
      <c r="G157" s="13"/>
      <c r="H157" s="10" t="s">
        <v>21</v>
      </c>
      <c r="I157" s="9"/>
      <c r="J157" s="11"/>
    </row>
    <row r="158" spans="5:10" ht="15.75">
      <c r="E158" s="35" t="s">
        <v>2</v>
      </c>
      <c r="F158" s="16">
        <f>SUM(F156/F157)</f>
        <v>12.654735781771612</v>
      </c>
      <c r="G158" s="4"/>
      <c r="H158" s="9" t="s">
        <v>26</v>
      </c>
      <c r="J158" s="11"/>
    </row>
    <row r="159" spans="5:10" ht="15.75">
      <c r="E159" s="35"/>
      <c r="F159" s="16"/>
      <c r="H159" s="9"/>
      <c r="J159" s="31"/>
    </row>
    <row r="160" spans="5:10" ht="15.75">
      <c r="E160" s="35"/>
      <c r="F160" s="14">
        <f>F154</f>
        <v>9482616</v>
      </c>
      <c r="H160" s="7" t="s">
        <v>24</v>
      </c>
      <c r="J160" s="15"/>
    </row>
    <row r="161" spans="5:10" ht="15">
      <c r="E161" s="41" t="s">
        <v>1</v>
      </c>
      <c r="F161" s="12">
        <f>Input!E6</f>
        <v>3413</v>
      </c>
      <c r="G161" s="13"/>
      <c r="H161" s="10" t="s">
        <v>27</v>
      </c>
      <c r="I161" s="13"/>
      <c r="J161" s="15"/>
    </row>
    <row r="162" spans="5:10" ht="15.75">
      <c r="E162" s="36" t="s">
        <v>2</v>
      </c>
      <c r="F162" s="49">
        <f>SUM(F160/F161)</f>
        <v>2778.381482566657</v>
      </c>
      <c r="H162" s="7" t="s">
        <v>28</v>
      </c>
      <c r="I162" s="9"/>
      <c r="J162" s="11"/>
    </row>
    <row r="163" spans="5:10" ht="15.75">
      <c r="E163" s="35"/>
      <c r="F163" s="16"/>
      <c r="H163" s="9"/>
      <c r="I163" s="9"/>
      <c r="J163" s="31"/>
    </row>
    <row r="164" spans="5:10" ht="15.75">
      <c r="E164" s="35"/>
      <c r="F164" s="3">
        <f>F156</f>
        <v>120</v>
      </c>
      <c r="H164" s="7" t="s">
        <v>25</v>
      </c>
      <c r="I164" s="9"/>
      <c r="J164" s="11"/>
    </row>
    <row r="165" spans="5:10" ht="15.75">
      <c r="E165" s="41" t="s">
        <v>1</v>
      </c>
      <c r="F165" s="53">
        <f>F162</f>
        <v>2778.381482566657</v>
      </c>
      <c r="G165" s="13"/>
      <c r="H165" s="7" t="s">
        <v>28</v>
      </c>
      <c r="I165" s="9"/>
      <c r="J165" s="11"/>
    </row>
    <row r="166" spans="5:10" ht="15.75">
      <c r="E166" s="35" t="s">
        <v>2</v>
      </c>
      <c r="F166" s="54">
        <f>SUM(F164/F165)</f>
        <v>0.043190613223186514</v>
      </c>
      <c r="G166" s="4"/>
      <c r="H166" s="9" t="s">
        <v>29</v>
      </c>
      <c r="I166" s="9"/>
      <c r="J166" s="11"/>
    </row>
    <row r="167" spans="5:10" ht="15.75">
      <c r="E167" s="35"/>
      <c r="F167" s="54"/>
      <c r="G167" s="4"/>
      <c r="H167" s="9"/>
      <c r="I167" s="9"/>
      <c r="J167" s="31"/>
    </row>
    <row r="168" spans="3:10" ht="15.75">
      <c r="C168" s="4" t="str">
        <f>" 1.10 "&amp;Input!B15&amp;""</f>
        <v> 1.10 Willow Biomass </v>
      </c>
      <c r="E168" s="7"/>
      <c r="F168" s="14">
        <f>Input!E15</f>
        <v>7739</v>
      </c>
      <c r="H168" s="2" t="s">
        <v>18</v>
      </c>
      <c r="I168" s="9"/>
      <c r="J168" s="11"/>
    </row>
    <row r="169" spans="5:10" ht="15.75">
      <c r="E169" s="41" t="s">
        <v>0</v>
      </c>
      <c r="F169" s="112">
        <f>SUM(1-(Input!G15))</f>
        <v>0.8</v>
      </c>
      <c r="H169" s="13" t="s">
        <v>19</v>
      </c>
      <c r="I169" s="9"/>
      <c r="J169" s="11"/>
    </row>
    <row r="170" spans="5:10" ht="15.75">
      <c r="E170" s="36" t="s">
        <v>2</v>
      </c>
      <c r="F170" s="49">
        <f>SUM(F168*F169)</f>
        <v>6191.200000000001</v>
      </c>
      <c r="H170" s="2" t="s">
        <v>91</v>
      </c>
      <c r="I170" s="9"/>
      <c r="J170" s="11"/>
    </row>
    <row r="171" spans="5:10" ht="15.75">
      <c r="E171" s="41" t="s">
        <v>0</v>
      </c>
      <c r="F171" s="12">
        <v>2000</v>
      </c>
      <c r="G171" s="13"/>
      <c r="H171" s="13" t="s">
        <v>20</v>
      </c>
      <c r="I171" s="9"/>
      <c r="J171" s="11"/>
    </row>
    <row r="172" spans="5:10" ht="15.75">
      <c r="E172" s="36" t="s">
        <v>2</v>
      </c>
      <c r="F172" s="14">
        <f>SUM(F170*F171)</f>
        <v>12382400.000000002</v>
      </c>
      <c r="H172" s="7" t="s">
        <v>23</v>
      </c>
      <c r="I172" s="9"/>
      <c r="J172" s="11"/>
    </row>
    <row r="173" spans="5:10" ht="15.75">
      <c r="E173" s="41" t="s">
        <v>0</v>
      </c>
      <c r="F173" s="51">
        <f>Input!H15</f>
        <v>0.65</v>
      </c>
      <c r="G173" s="13"/>
      <c r="H173" s="10" t="s">
        <v>22</v>
      </c>
      <c r="I173" s="9"/>
      <c r="J173" s="11"/>
    </row>
    <row r="174" spans="5:10" ht="15.75">
      <c r="E174" s="35" t="s">
        <v>2</v>
      </c>
      <c r="F174" s="50">
        <f>SUM(F172*F173)</f>
        <v>8048560.000000002</v>
      </c>
      <c r="G174" s="4"/>
      <c r="H174" s="9" t="s">
        <v>24</v>
      </c>
      <c r="I174" s="9"/>
      <c r="J174" s="11"/>
    </row>
    <row r="175" spans="5:10" ht="15.75">
      <c r="E175" s="35"/>
      <c r="F175" s="16"/>
      <c r="H175" s="9"/>
      <c r="I175" s="9"/>
      <c r="J175" s="31"/>
    </row>
    <row r="176" spans="5:10" ht="15.75">
      <c r="E176" s="35"/>
      <c r="F176" s="3">
        <f>Input!C15</f>
        <v>85</v>
      </c>
      <c r="H176" s="7" t="s">
        <v>25</v>
      </c>
      <c r="I176" s="9"/>
      <c r="J176" s="11"/>
    </row>
    <row r="177" spans="5:10" ht="15.75">
      <c r="E177" s="41" t="s">
        <v>1</v>
      </c>
      <c r="F177" s="52">
        <f>F174/1000000</f>
        <v>8.048560000000002</v>
      </c>
      <c r="G177" s="13"/>
      <c r="H177" s="10" t="s">
        <v>21</v>
      </c>
      <c r="I177" s="9"/>
      <c r="J177" s="11"/>
    </row>
    <row r="178" spans="5:10" ht="15.75">
      <c r="E178" s="35" t="s">
        <v>2</v>
      </c>
      <c r="F178" s="16">
        <f>SUM(F176/F177)</f>
        <v>10.560895365133636</v>
      </c>
      <c r="G178" s="4"/>
      <c r="H178" s="9" t="s">
        <v>26</v>
      </c>
      <c r="J178" s="11"/>
    </row>
    <row r="179" spans="5:10" ht="15.75">
      <c r="E179" s="35"/>
      <c r="F179" s="16"/>
      <c r="H179" s="9"/>
      <c r="J179" s="31"/>
    </row>
    <row r="180" spans="5:10" ht="15.75">
      <c r="E180" s="35"/>
      <c r="F180" s="14">
        <f>F174</f>
        <v>8048560.000000002</v>
      </c>
      <c r="H180" s="7" t="s">
        <v>24</v>
      </c>
      <c r="J180" s="15"/>
    </row>
    <row r="181" spans="5:10" ht="15">
      <c r="E181" s="41" t="s">
        <v>1</v>
      </c>
      <c r="F181" s="12">
        <f>Input!E6</f>
        <v>3413</v>
      </c>
      <c r="G181" s="13"/>
      <c r="H181" s="10" t="s">
        <v>27</v>
      </c>
      <c r="I181" s="13"/>
      <c r="J181" s="15"/>
    </row>
    <row r="182" spans="5:10" ht="15.75">
      <c r="E182" s="36" t="s">
        <v>2</v>
      </c>
      <c r="F182" s="49">
        <f>SUM(F180/F181)</f>
        <v>2358.2068561382953</v>
      </c>
      <c r="H182" s="7" t="s">
        <v>28</v>
      </c>
      <c r="I182" s="9"/>
      <c r="J182" s="11"/>
    </row>
    <row r="183" spans="5:10" ht="15.75">
      <c r="E183" s="35"/>
      <c r="F183" s="16"/>
      <c r="H183" s="9"/>
      <c r="I183" s="9"/>
      <c r="J183" s="31"/>
    </row>
    <row r="184" spans="5:10" ht="15.75">
      <c r="E184" s="35"/>
      <c r="F184" s="3">
        <f>F176</f>
        <v>85</v>
      </c>
      <c r="H184" s="7" t="s">
        <v>25</v>
      </c>
      <c r="I184" s="9"/>
      <c r="J184" s="11"/>
    </row>
    <row r="185" spans="5:10" ht="15.75">
      <c r="E185" s="41" t="s">
        <v>1</v>
      </c>
      <c r="F185" s="53">
        <f>F182</f>
        <v>2358.2068561382953</v>
      </c>
      <c r="G185" s="13"/>
      <c r="H185" s="7" t="s">
        <v>28</v>
      </c>
      <c r="I185" s="9"/>
      <c r="J185" s="11"/>
    </row>
    <row r="186" spans="5:10" ht="15.75">
      <c r="E186" s="35" t="s">
        <v>2</v>
      </c>
      <c r="F186" s="54">
        <f>SUM(F184/F185)</f>
        <v>0.0360443358812011</v>
      </c>
      <c r="G186" s="4"/>
      <c r="H186" s="9" t="s">
        <v>29</v>
      </c>
      <c r="I186" s="9"/>
      <c r="J186" s="11"/>
    </row>
    <row r="187" spans="5:10" ht="15.75">
      <c r="E187" s="35"/>
      <c r="F187" s="54"/>
      <c r="G187" s="4"/>
      <c r="H187" s="9"/>
      <c r="I187" s="9"/>
      <c r="J187" s="31"/>
    </row>
    <row r="188" spans="3:10" ht="15.75">
      <c r="C188" s="4" t="str">
        <f>" 1.11 "&amp;Input!B16&amp;""</f>
        <v> 1.11 Sunflower Hulls </v>
      </c>
      <c r="E188" s="7"/>
      <c r="F188" s="14">
        <f>Input!E16</f>
        <v>7491</v>
      </c>
      <c r="H188" s="2" t="s">
        <v>18</v>
      </c>
      <c r="I188" s="9"/>
      <c r="J188" s="11"/>
    </row>
    <row r="189" spans="5:10" ht="15.75">
      <c r="E189" s="41" t="s">
        <v>0</v>
      </c>
      <c r="F189" s="112">
        <f>SUM(1-(Input!G16))</f>
        <v>0.9</v>
      </c>
      <c r="H189" s="13" t="s">
        <v>19</v>
      </c>
      <c r="I189" s="9"/>
      <c r="J189" s="11"/>
    </row>
    <row r="190" spans="5:10" ht="15.75">
      <c r="E190" s="36" t="s">
        <v>2</v>
      </c>
      <c r="F190" s="49">
        <f>SUM(F188*F189)</f>
        <v>6741.900000000001</v>
      </c>
      <c r="H190" s="2" t="s">
        <v>91</v>
      </c>
      <c r="I190" s="9"/>
      <c r="J190" s="11"/>
    </row>
    <row r="191" spans="5:10" ht="15.75">
      <c r="E191" s="41" t="s">
        <v>0</v>
      </c>
      <c r="F191" s="12">
        <v>2000</v>
      </c>
      <c r="G191" s="13"/>
      <c r="H191" s="13" t="s">
        <v>20</v>
      </c>
      <c r="I191" s="9"/>
      <c r="J191" s="11"/>
    </row>
    <row r="192" spans="5:10" ht="15.75">
      <c r="E192" s="36" t="s">
        <v>2</v>
      </c>
      <c r="F192" s="14">
        <f>SUM(F190*F191)</f>
        <v>13483800.000000002</v>
      </c>
      <c r="H192" s="7" t="s">
        <v>23</v>
      </c>
      <c r="I192" s="9"/>
      <c r="J192" s="11"/>
    </row>
    <row r="193" spans="5:10" ht="15.75">
      <c r="E193" s="41" t="s">
        <v>0</v>
      </c>
      <c r="F193" s="51">
        <f>Input!H16</f>
        <v>0.65</v>
      </c>
      <c r="G193" s="13"/>
      <c r="H193" s="10" t="s">
        <v>22</v>
      </c>
      <c r="I193" s="9"/>
      <c r="J193" s="11"/>
    </row>
    <row r="194" spans="5:10" ht="15.75">
      <c r="E194" s="35" t="s">
        <v>2</v>
      </c>
      <c r="F194" s="50">
        <f>SUM(F192*F193)</f>
        <v>8764470.000000002</v>
      </c>
      <c r="G194" s="4"/>
      <c r="H194" s="9" t="s">
        <v>24</v>
      </c>
      <c r="I194" s="9"/>
      <c r="J194" s="11"/>
    </row>
    <row r="195" spans="5:10" ht="15.75">
      <c r="E195" s="35"/>
      <c r="F195" s="16"/>
      <c r="H195" s="9"/>
      <c r="I195" s="9"/>
      <c r="J195" s="31"/>
    </row>
    <row r="196" spans="5:10" ht="15.75">
      <c r="E196" s="35"/>
      <c r="F196" s="3">
        <f>Input!C16</f>
        <v>100</v>
      </c>
      <c r="H196" s="7" t="s">
        <v>25</v>
      </c>
      <c r="I196" s="9"/>
      <c r="J196" s="11"/>
    </row>
    <row r="197" spans="5:10" ht="15.75">
      <c r="E197" s="41" t="s">
        <v>1</v>
      </c>
      <c r="F197" s="52">
        <f>F194/1000000</f>
        <v>8.764470000000001</v>
      </c>
      <c r="G197" s="13"/>
      <c r="H197" s="10" t="s">
        <v>21</v>
      </c>
      <c r="I197" s="9"/>
      <c r="J197" s="11"/>
    </row>
    <row r="198" spans="5:10" ht="15.75">
      <c r="E198" s="35" t="s">
        <v>2</v>
      </c>
      <c r="F198" s="16">
        <f>SUM(F196/F197)</f>
        <v>11.409703039658986</v>
      </c>
      <c r="G198" s="4"/>
      <c r="H198" s="9" t="s">
        <v>26</v>
      </c>
      <c r="J198" s="11"/>
    </row>
    <row r="199" spans="5:10" ht="15.75">
      <c r="E199" s="35"/>
      <c r="F199" s="16"/>
      <c r="H199" s="9"/>
      <c r="J199" s="31"/>
    </row>
    <row r="200" spans="5:10" ht="15.75">
      <c r="E200" s="35"/>
      <c r="F200" s="14">
        <f>F194</f>
        <v>8764470.000000002</v>
      </c>
      <c r="H200" s="7" t="s">
        <v>24</v>
      </c>
      <c r="J200" s="15"/>
    </row>
    <row r="201" spans="5:10" ht="15">
      <c r="E201" s="41" t="s">
        <v>1</v>
      </c>
      <c r="F201" s="12">
        <f>Input!E6</f>
        <v>3413</v>
      </c>
      <c r="G201" s="13"/>
      <c r="H201" s="10" t="s">
        <v>27</v>
      </c>
      <c r="I201" s="13"/>
      <c r="J201" s="15"/>
    </row>
    <row r="202" spans="5:10" ht="15.75">
      <c r="E202" s="36" t="s">
        <v>2</v>
      </c>
      <c r="F202" s="49">
        <f>SUM(F200/F201)</f>
        <v>2567.9665983006157</v>
      </c>
      <c r="H202" s="7" t="s">
        <v>28</v>
      </c>
      <c r="I202" s="9"/>
      <c r="J202" s="11"/>
    </row>
    <row r="203" spans="5:10" ht="15.75">
      <c r="E203" s="35"/>
      <c r="F203" s="16"/>
      <c r="H203" s="9"/>
      <c r="I203" s="9"/>
      <c r="J203" s="31"/>
    </row>
    <row r="204" spans="5:10" ht="15.75">
      <c r="E204" s="35"/>
      <c r="F204" s="3">
        <f>F196</f>
        <v>100</v>
      </c>
      <c r="H204" s="7" t="s">
        <v>25</v>
      </c>
      <c r="I204" s="9"/>
      <c r="J204" s="11"/>
    </row>
    <row r="205" spans="5:10" ht="15.75">
      <c r="E205" s="41" t="s">
        <v>1</v>
      </c>
      <c r="F205" s="53">
        <f>F202</f>
        <v>2567.9665983006157</v>
      </c>
      <c r="G205" s="13"/>
      <c r="H205" s="7" t="s">
        <v>28</v>
      </c>
      <c r="I205" s="9"/>
      <c r="J205" s="11"/>
    </row>
    <row r="206" spans="5:10" ht="15.75">
      <c r="E206" s="35" t="s">
        <v>2</v>
      </c>
      <c r="F206" s="54">
        <f>SUM(F204/F205)</f>
        <v>0.038941316474356114</v>
      </c>
      <c r="G206" s="4"/>
      <c r="H206" s="9" t="s">
        <v>29</v>
      </c>
      <c r="I206" s="9"/>
      <c r="J206" s="11"/>
    </row>
    <row r="207" spans="5:10" ht="15.75">
      <c r="E207" s="35"/>
      <c r="F207" s="54"/>
      <c r="G207" s="4"/>
      <c r="H207" s="9"/>
      <c r="I207" s="9"/>
      <c r="J207" s="31"/>
    </row>
    <row r="208" spans="3:10" ht="15.75">
      <c r="C208" s="4" t="str">
        <f>" 1.12 "&amp;Input!B17&amp;""</f>
        <v> 1.12 Oat Hull Pellets </v>
      </c>
      <c r="E208" s="7"/>
      <c r="F208" s="14">
        <f>Input!E17</f>
        <v>7732</v>
      </c>
      <c r="H208" s="2" t="s">
        <v>18</v>
      </c>
      <c r="I208" s="9"/>
      <c r="J208" s="11"/>
    </row>
    <row r="209" spans="5:10" ht="15.75">
      <c r="E209" s="41" t="s">
        <v>0</v>
      </c>
      <c r="F209" s="112">
        <f>SUM(1-(Input!G17))</f>
        <v>0.92</v>
      </c>
      <c r="H209" s="13" t="s">
        <v>19</v>
      </c>
      <c r="I209" s="9"/>
      <c r="J209" s="11"/>
    </row>
    <row r="210" spans="5:10" ht="15.75">
      <c r="E210" s="36" t="s">
        <v>2</v>
      </c>
      <c r="F210" s="49">
        <f>SUM(F208*F209)</f>
        <v>7113.4400000000005</v>
      </c>
      <c r="H210" s="2" t="s">
        <v>91</v>
      </c>
      <c r="I210" s="9"/>
      <c r="J210" s="11"/>
    </row>
    <row r="211" spans="5:10" ht="15.75">
      <c r="E211" s="41" t="s">
        <v>0</v>
      </c>
      <c r="F211" s="12">
        <v>2000</v>
      </c>
      <c r="G211" s="13"/>
      <c r="H211" s="13" t="s">
        <v>20</v>
      </c>
      <c r="I211" s="9"/>
      <c r="J211" s="11"/>
    </row>
    <row r="212" spans="5:10" ht="15.75">
      <c r="E212" s="36" t="s">
        <v>2</v>
      </c>
      <c r="F212" s="14">
        <f>SUM(F210*F211)</f>
        <v>14226880.000000002</v>
      </c>
      <c r="H212" s="7" t="s">
        <v>23</v>
      </c>
      <c r="I212" s="9"/>
      <c r="J212" s="11"/>
    </row>
    <row r="213" spans="5:10" ht="15.75">
      <c r="E213" s="41" t="s">
        <v>0</v>
      </c>
      <c r="F213" s="51">
        <f>Input!H17</f>
        <v>0.65</v>
      </c>
      <c r="G213" s="13"/>
      <c r="H213" s="10" t="s">
        <v>22</v>
      </c>
      <c r="I213" s="9"/>
      <c r="J213" s="11"/>
    </row>
    <row r="214" spans="5:10" ht="15.75">
      <c r="E214" s="35" t="s">
        <v>2</v>
      </c>
      <c r="F214" s="50">
        <f>SUM(F212*F213)</f>
        <v>9247472.000000002</v>
      </c>
      <c r="G214" s="4"/>
      <c r="H214" s="9" t="s">
        <v>24</v>
      </c>
      <c r="I214" s="9"/>
      <c r="J214" s="11"/>
    </row>
    <row r="215" spans="5:10" ht="15.75">
      <c r="E215" s="35"/>
      <c r="F215" s="16"/>
      <c r="H215" s="9"/>
      <c r="I215" s="9"/>
      <c r="J215" s="31"/>
    </row>
    <row r="216" spans="5:10" ht="15.75">
      <c r="E216" s="35"/>
      <c r="F216" s="3">
        <f>Input!C17</f>
        <v>100</v>
      </c>
      <c r="H216" s="7" t="s">
        <v>25</v>
      </c>
      <c r="I216" s="9"/>
      <c r="J216" s="11"/>
    </row>
    <row r="217" spans="5:10" ht="15.75">
      <c r="E217" s="41" t="s">
        <v>1</v>
      </c>
      <c r="F217" s="52">
        <f>F214/1000000</f>
        <v>9.247472000000002</v>
      </c>
      <c r="G217" s="13"/>
      <c r="H217" s="10" t="s">
        <v>21</v>
      </c>
      <c r="I217" s="9"/>
      <c r="J217" s="11"/>
    </row>
    <row r="218" spans="5:10" ht="15.75">
      <c r="E218" s="35" t="s">
        <v>2</v>
      </c>
      <c r="F218" s="16">
        <f>SUM(F216/F217)</f>
        <v>10.813766183882468</v>
      </c>
      <c r="G218" s="4"/>
      <c r="H218" s="9" t="s">
        <v>26</v>
      </c>
      <c r="J218" s="11"/>
    </row>
    <row r="219" spans="5:10" ht="15.75">
      <c r="E219" s="35"/>
      <c r="F219" s="16"/>
      <c r="H219" s="9"/>
      <c r="J219" s="31"/>
    </row>
    <row r="220" spans="5:10" ht="15.75">
      <c r="E220" s="35"/>
      <c r="F220" s="14">
        <f>F214</f>
        <v>9247472.000000002</v>
      </c>
      <c r="H220" s="7" t="s">
        <v>24</v>
      </c>
      <c r="J220" s="15"/>
    </row>
    <row r="221" spans="5:10" ht="15">
      <c r="E221" s="41" t="s">
        <v>1</v>
      </c>
      <c r="F221" s="12">
        <f>Input!E6</f>
        <v>3413</v>
      </c>
      <c r="G221" s="13"/>
      <c r="H221" s="10" t="s">
        <v>27</v>
      </c>
      <c r="I221" s="13"/>
      <c r="J221" s="15"/>
    </row>
    <row r="222" spans="5:10" ht="15.75">
      <c r="E222" s="36" t="s">
        <v>2</v>
      </c>
      <c r="F222" s="49">
        <f>SUM(F220/F221)</f>
        <v>2709.4849106358047</v>
      </c>
      <c r="H222" s="7" t="s">
        <v>28</v>
      </c>
      <c r="I222" s="9"/>
      <c r="J222" s="11"/>
    </row>
    <row r="223" spans="5:10" ht="15.75">
      <c r="E223" s="35"/>
      <c r="F223" s="16"/>
      <c r="H223" s="9"/>
      <c r="I223" s="9"/>
      <c r="J223" s="31"/>
    </row>
    <row r="224" spans="5:10" ht="15.75">
      <c r="E224" s="35"/>
      <c r="F224" s="3">
        <f>F216</f>
        <v>100</v>
      </c>
      <c r="H224" s="7" t="s">
        <v>25</v>
      </c>
      <c r="I224" s="9"/>
      <c r="J224" s="11"/>
    </row>
    <row r="225" spans="5:10" ht="15.75">
      <c r="E225" s="41" t="s">
        <v>1</v>
      </c>
      <c r="F225" s="53">
        <f>F222</f>
        <v>2709.4849106358047</v>
      </c>
      <c r="G225" s="13"/>
      <c r="H225" s="7" t="s">
        <v>28</v>
      </c>
      <c r="I225" s="9"/>
      <c r="J225" s="11"/>
    </row>
    <row r="226" spans="5:10" ht="15.75">
      <c r="E226" s="35" t="s">
        <v>2</v>
      </c>
      <c r="F226" s="54">
        <f>SUM(F224/F225)</f>
        <v>0.03690738398559087</v>
      </c>
      <c r="G226" s="4"/>
      <c r="H226" s="9" t="s">
        <v>29</v>
      </c>
      <c r="I226" s="9"/>
      <c r="J226" s="11"/>
    </row>
    <row r="227" spans="5:10" ht="15.75">
      <c r="E227" s="35"/>
      <c r="F227" s="54"/>
      <c r="G227" s="4"/>
      <c r="H227" s="9"/>
      <c r="I227" s="9"/>
      <c r="J227" s="31"/>
    </row>
    <row r="228" spans="3:10" ht="15.75">
      <c r="C228" s="4" t="str">
        <f>" 1.13 "&amp;Input!B18&amp;""</f>
        <v> 1.13 Wood Pellets #1</v>
      </c>
      <c r="E228" s="7"/>
      <c r="F228" s="14">
        <f>Input!E18</f>
        <v>8200</v>
      </c>
      <c r="H228" s="2" t="s">
        <v>18</v>
      </c>
      <c r="I228" s="9"/>
      <c r="J228" s="11"/>
    </row>
    <row r="229" spans="5:10" ht="15.75">
      <c r="E229" s="41" t="s">
        <v>0</v>
      </c>
      <c r="F229" s="112">
        <f>SUM(1-(Input!G18))</f>
        <v>0.95</v>
      </c>
      <c r="H229" s="13" t="s">
        <v>19</v>
      </c>
      <c r="I229" s="9"/>
      <c r="J229" s="11"/>
    </row>
    <row r="230" spans="5:10" ht="15.75">
      <c r="E230" s="36" t="s">
        <v>2</v>
      </c>
      <c r="F230" s="49">
        <f>SUM(F228*F229)</f>
        <v>7790</v>
      </c>
      <c r="H230" s="2" t="s">
        <v>91</v>
      </c>
      <c r="I230" s="9"/>
      <c r="J230" s="11"/>
    </row>
    <row r="231" spans="5:10" ht="15.75">
      <c r="E231" s="41" t="s">
        <v>0</v>
      </c>
      <c r="F231" s="12">
        <v>2000</v>
      </c>
      <c r="G231" s="13"/>
      <c r="H231" s="13" t="s">
        <v>20</v>
      </c>
      <c r="I231" s="9"/>
      <c r="J231" s="11"/>
    </row>
    <row r="232" spans="5:10" ht="15.75">
      <c r="E232" s="36" t="s">
        <v>2</v>
      </c>
      <c r="F232" s="14">
        <f>SUM(F230*F231)</f>
        <v>15580000</v>
      </c>
      <c r="H232" s="7" t="s">
        <v>23</v>
      </c>
      <c r="I232" s="9"/>
      <c r="J232" s="11"/>
    </row>
    <row r="233" spans="5:10" ht="15.75">
      <c r="E233" s="41" t="s">
        <v>0</v>
      </c>
      <c r="F233" s="51">
        <f>Input!H18</f>
        <v>0.65</v>
      </c>
      <c r="G233" s="13"/>
      <c r="H233" s="10" t="s">
        <v>22</v>
      </c>
      <c r="I233" s="9"/>
      <c r="J233" s="11"/>
    </row>
    <row r="234" spans="5:10" ht="15.75">
      <c r="E234" s="35" t="s">
        <v>2</v>
      </c>
      <c r="F234" s="50">
        <f>SUM(F232*F233)</f>
        <v>10127000</v>
      </c>
      <c r="G234" s="4"/>
      <c r="H234" s="9" t="s">
        <v>24</v>
      </c>
      <c r="I234" s="9"/>
      <c r="J234" s="11"/>
    </row>
    <row r="235" spans="5:10" ht="15.75">
      <c r="E235" s="35"/>
      <c r="F235" s="16"/>
      <c r="H235" s="9"/>
      <c r="I235" s="9"/>
      <c r="J235" s="31"/>
    </row>
    <row r="236" spans="5:10" ht="15.75">
      <c r="E236" s="35"/>
      <c r="F236" s="3">
        <f>Input!C18</f>
        <v>175</v>
      </c>
      <c r="H236" s="7" t="s">
        <v>25</v>
      </c>
      <c r="I236" s="9"/>
      <c r="J236" s="11"/>
    </row>
    <row r="237" spans="5:10" ht="15.75">
      <c r="E237" s="41" t="s">
        <v>1</v>
      </c>
      <c r="F237" s="52">
        <f>F234/1000000</f>
        <v>10.127</v>
      </c>
      <c r="G237" s="13"/>
      <c r="H237" s="10" t="s">
        <v>21</v>
      </c>
      <c r="I237" s="9"/>
      <c r="J237" s="11"/>
    </row>
    <row r="238" spans="5:10" ht="15.75">
      <c r="E238" s="35" t="s">
        <v>2</v>
      </c>
      <c r="F238" s="16">
        <f>SUM(F236/F237)</f>
        <v>17.280537177841413</v>
      </c>
      <c r="G238" s="4"/>
      <c r="H238" s="9" t="s">
        <v>26</v>
      </c>
      <c r="J238" s="11"/>
    </row>
    <row r="239" spans="5:10" ht="15.75">
      <c r="E239" s="35"/>
      <c r="F239" s="16"/>
      <c r="H239" s="9"/>
      <c r="J239" s="31"/>
    </row>
    <row r="240" spans="5:10" ht="15.75">
      <c r="E240" s="35"/>
      <c r="F240" s="14">
        <f>F234</f>
        <v>10127000</v>
      </c>
      <c r="H240" s="7" t="s">
        <v>24</v>
      </c>
      <c r="J240" s="15"/>
    </row>
    <row r="241" spans="5:10" ht="15">
      <c r="E241" s="41" t="s">
        <v>1</v>
      </c>
      <c r="F241" s="12">
        <f>Input!E6</f>
        <v>3413</v>
      </c>
      <c r="G241" s="13"/>
      <c r="H241" s="10" t="s">
        <v>27</v>
      </c>
      <c r="I241" s="13"/>
      <c r="J241" s="15"/>
    </row>
    <row r="242" spans="5:10" ht="15.75">
      <c r="E242" s="36" t="s">
        <v>2</v>
      </c>
      <c r="F242" s="49">
        <f>SUM(F240/F241)</f>
        <v>2967.184295341342</v>
      </c>
      <c r="H242" s="7" t="s">
        <v>28</v>
      </c>
      <c r="I242" s="9"/>
      <c r="J242" s="11"/>
    </row>
    <row r="243" spans="5:10" ht="15.75">
      <c r="E243" s="35"/>
      <c r="F243" s="16"/>
      <c r="H243" s="9"/>
      <c r="I243" s="9"/>
      <c r="J243" s="31"/>
    </row>
    <row r="244" spans="5:10" ht="15.75">
      <c r="E244" s="35"/>
      <c r="F244" s="3">
        <f>F236</f>
        <v>175</v>
      </c>
      <c r="H244" s="7" t="s">
        <v>25</v>
      </c>
      <c r="I244" s="9"/>
      <c r="J244" s="11"/>
    </row>
    <row r="245" spans="5:10" ht="15.75">
      <c r="E245" s="41" t="s">
        <v>1</v>
      </c>
      <c r="F245" s="53">
        <f>F242</f>
        <v>2967.184295341342</v>
      </c>
      <c r="G245" s="13"/>
      <c r="H245" s="7" t="s">
        <v>28</v>
      </c>
      <c r="I245" s="9"/>
      <c r="J245" s="11"/>
    </row>
    <row r="246" spans="5:10" ht="15.75">
      <c r="E246" s="35" t="s">
        <v>2</v>
      </c>
      <c r="F246" s="54">
        <f>SUM(F244/F245)</f>
        <v>0.05897847338797275</v>
      </c>
      <c r="G246" s="4"/>
      <c r="H246" s="9" t="s">
        <v>29</v>
      </c>
      <c r="I246" s="9"/>
      <c r="J246" s="11"/>
    </row>
    <row r="247" spans="5:10" ht="15.75">
      <c r="E247" s="35"/>
      <c r="F247" s="54"/>
      <c r="G247" s="4"/>
      <c r="H247" s="9"/>
      <c r="I247" s="9"/>
      <c r="J247" s="31"/>
    </row>
    <row r="248" spans="3:10" ht="15.75">
      <c r="C248" s="4" t="str">
        <f>" 1.14 "&amp;Input!B19&amp;""</f>
        <v> 1.14 Recycled Fuel Pucks</v>
      </c>
      <c r="E248" s="7"/>
      <c r="F248" s="14">
        <f>Input!E19</f>
        <v>8000</v>
      </c>
      <c r="H248" s="2" t="s">
        <v>18</v>
      </c>
      <c r="I248" s="9"/>
      <c r="J248" s="11"/>
    </row>
    <row r="249" spans="5:10" ht="15.75">
      <c r="E249" s="41" t="s">
        <v>0</v>
      </c>
      <c r="F249" s="112">
        <f>SUM(1-(Input!G19))</f>
        <v>0.95</v>
      </c>
      <c r="H249" s="13" t="s">
        <v>19</v>
      </c>
      <c r="I249" s="9"/>
      <c r="J249" s="11"/>
    </row>
    <row r="250" spans="5:10" ht="15.75">
      <c r="E250" s="36" t="s">
        <v>2</v>
      </c>
      <c r="F250" s="49">
        <f>SUM(F248*F249)</f>
        <v>7600</v>
      </c>
      <c r="H250" s="2" t="s">
        <v>91</v>
      </c>
      <c r="I250" s="9"/>
      <c r="J250" s="11"/>
    </row>
    <row r="251" spans="5:10" ht="15.75">
      <c r="E251" s="41" t="s">
        <v>0</v>
      </c>
      <c r="F251" s="12">
        <v>2000</v>
      </c>
      <c r="G251" s="13"/>
      <c r="H251" s="13" t="s">
        <v>20</v>
      </c>
      <c r="I251" s="9"/>
      <c r="J251" s="11"/>
    </row>
    <row r="252" spans="5:10" ht="15.75">
      <c r="E252" s="36" t="s">
        <v>2</v>
      </c>
      <c r="F252" s="14">
        <f>SUM(F250*F251)</f>
        <v>15200000</v>
      </c>
      <c r="H252" s="7" t="s">
        <v>23</v>
      </c>
      <c r="I252" s="9"/>
      <c r="J252" s="11"/>
    </row>
    <row r="253" spans="5:10" ht="15.75">
      <c r="E253" s="41" t="s">
        <v>0</v>
      </c>
      <c r="F253" s="51">
        <f>Input!H19</f>
        <v>0.65</v>
      </c>
      <c r="G253" s="13"/>
      <c r="H253" s="10" t="s">
        <v>22</v>
      </c>
      <c r="I253" s="9"/>
      <c r="J253" s="11"/>
    </row>
    <row r="254" spans="5:10" ht="15.75">
      <c r="E254" s="35" t="s">
        <v>2</v>
      </c>
      <c r="F254" s="50">
        <f>SUM(F252*F253)</f>
        <v>9880000</v>
      </c>
      <c r="G254" s="4"/>
      <c r="H254" s="9" t="s">
        <v>24</v>
      </c>
      <c r="I254" s="9"/>
      <c r="J254" s="11"/>
    </row>
    <row r="255" spans="5:10" ht="15.75">
      <c r="E255" s="35"/>
      <c r="F255" s="16"/>
      <c r="H255" s="9"/>
      <c r="I255" s="9"/>
      <c r="J255" s="31"/>
    </row>
    <row r="256" spans="5:10" ht="15.75">
      <c r="E256" s="35"/>
      <c r="F256" s="3">
        <f>Input!C19</f>
        <v>150</v>
      </c>
      <c r="H256" s="7" t="s">
        <v>25</v>
      </c>
      <c r="I256" s="9"/>
      <c r="J256" s="11"/>
    </row>
    <row r="257" spans="5:10" ht="15.75">
      <c r="E257" s="41" t="s">
        <v>1</v>
      </c>
      <c r="F257" s="52">
        <f>F254/1000000</f>
        <v>9.88</v>
      </c>
      <c r="G257" s="13"/>
      <c r="H257" s="10" t="s">
        <v>21</v>
      </c>
      <c r="I257" s="9"/>
      <c r="J257" s="11"/>
    </row>
    <row r="258" spans="5:10" ht="15.75">
      <c r="E258" s="35" t="s">
        <v>2</v>
      </c>
      <c r="F258" s="16">
        <f>SUM(F256/F257)</f>
        <v>15.182186234817813</v>
      </c>
      <c r="G258" s="4"/>
      <c r="H258" s="9" t="s">
        <v>26</v>
      </c>
      <c r="J258" s="11"/>
    </row>
    <row r="259" spans="5:10" ht="15.75">
      <c r="E259" s="35"/>
      <c r="F259" s="16"/>
      <c r="H259" s="9"/>
      <c r="J259" s="31"/>
    </row>
    <row r="260" spans="5:10" ht="15.75">
      <c r="E260" s="35"/>
      <c r="F260" s="14">
        <f>F254</f>
        <v>9880000</v>
      </c>
      <c r="H260" s="7" t="s">
        <v>24</v>
      </c>
      <c r="J260" s="15"/>
    </row>
    <row r="261" spans="5:10" ht="15">
      <c r="E261" s="41" t="s">
        <v>1</v>
      </c>
      <c r="F261" s="12">
        <f>Input!E6</f>
        <v>3413</v>
      </c>
      <c r="G261" s="13"/>
      <c r="H261" s="10" t="s">
        <v>27</v>
      </c>
      <c r="I261" s="13"/>
      <c r="J261" s="15"/>
    </row>
    <row r="262" spans="5:10" ht="15.75">
      <c r="E262" s="36" t="s">
        <v>2</v>
      </c>
      <c r="F262" s="49">
        <f>SUM(F260/F261)</f>
        <v>2894.81394667448</v>
      </c>
      <c r="H262" s="7" t="s">
        <v>28</v>
      </c>
      <c r="I262" s="9"/>
      <c r="J262" s="11"/>
    </row>
    <row r="263" spans="5:10" ht="15.75">
      <c r="E263" s="35"/>
      <c r="F263" s="16"/>
      <c r="H263" s="9"/>
      <c r="I263" s="9"/>
      <c r="J263" s="31"/>
    </row>
    <row r="264" spans="5:10" ht="15.75">
      <c r="E264" s="35"/>
      <c r="F264" s="3">
        <f>F256</f>
        <v>150</v>
      </c>
      <c r="H264" s="7" t="s">
        <v>25</v>
      </c>
      <c r="I264" s="9"/>
      <c r="J264" s="11"/>
    </row>
    <row r="265" spans="5:10" ht="15.75">
      <c r="E265" s="41" t="s">
        <v>1</v>
      </c>
      <c r="F265" s="53">
        <f>F262</f>
        <v>2894.81394667448</v>
      </c>
      <c r="G265" s="13"/>
      <c r="H265" s="7" t="s">
        <v>28</v>
      </c>
      <c r="I265" s="9"/>
      <c r="J265" s="11"/>
    </row>
    <row r="266" spans="5:10" ht="15.75">
      <c r="E266" s="35" t="s">
        <v>2</v>
      </c>
      <c r="F266" s="54">
        <f>SUM(F264/F265)</f>
        <v>0.051816801619433195</v>
      </c>
      <c r="G266" s="4"/>
      <c r="H266" s="9" t="s">
        <v>29</v>
      </c>
      <c r="I266" s="9"/>
      <c r="J266" s="11"/>
    </row>
    <row r="267" spans="5:10" ht="15.75">
      <c r="E267" s="35"/>
      <c r="F267" s="54"/>
      <c r="G267" s="4"/>
      <c r="H267" s="9"/>
      <c r="I267" s="9"/>
      <c r="J267" s="31"/>
    </row>
    <row r="268" spans="3:10" ht="15.75">
      <c r="C268" s="4" t="str">
        <f>" 1.15 "&amp;Input!B20&amp;""</f>
        <v> 1.15 Wheat HRS (60lb)</v>
      </c>
      <c r="E268" s="7"/>
      <c r="F268" s="14">
        <f>Input!E20</f>
        <v>8700</v>
      </c>
      <c r="H268" s="2" t="s">
        <v>18</v>
      </c>
      <c r="I268" s="9"/>
      <c r="J268" s="11"/>
    </row>
    <row r="269" spans="5:10" ht="15.75">
      <c r="E269" s="41" t="s">
        <v>0</v>
      </c>
      <c r="F269" s="112">
        <f>SUM(1-(Input!G20))</f>
        <v>0.865</v>
      </c>
      <c r="H269" s="13" t="s">
        <v>19</v>
      </c>
      <c r="I269" s="9"/>
      <c r="J269" s="11"/>
    </row>
    <row r="270" spans="5:10" ht="15.75">
      <c r="E270" s="36" t="s">
        <v>2</v>
      </c>
      <c r="F270" s="49">
        <f>SUM(F268*F269)</f>
        <v>7525.5</v>
      </c>
      <c r="H270" s="2" t="s">
        <v>91</v>
      </c>
      <c r="I270" s="9"/>
      <c r="J270" s="11"/>
    </row>
    <row r="271" spans="5:10" ht="15.75">
      <c r="E271" s="41" t="s">
        <v>0</v>
      </c>
      <c r="F271" s="12">
        <v>2000</v>
      </c>
      <c r="G271" s="13"/>
      <c r="H271" s="13" t="s">
        <v>20</v>
      </c>
      <c r="I271" s="9"/>
      <c r="J271" s="11"/>
    </row>
    <row r="272" spans="5:10" ht="15.75">
      <c r="E272" s="36" t="s">
        <v>2</v>
      </c>
      <c r="F272" s="14">
        <f>SUM(F270*F271)</f>
        <v>15051000</v>
      </c>
      <c r="H272" s="7" t="s">
        <v>23</v>
      </c>
      <c r="I272" s="9"/>
      <c r="J272" s="11"/>
    </row>
    <row r="273" spans="5:10" ht="15.75">
      <c r="E273" s="41" t="s">
        <v>0</v>
      </c>
      <c r="F273" s="51">
        <f>Input!H20</f>
        <v>0.65</v>
      </c>
      <c r="G273" s="13"/>
      <c r="H273" s="10" t="s">
        <v>22</v>
      </c>
      <c r="I273" s="9"/>
      <c r="J273" s="11"/>
    </row>
    <row r="274" spans="5:10" ht="15.75">
      <c r="E274" s="35" t="s">
        <v>2</v>
      </c>
      <c r="F274" s="50">
        <f>SUM(F272*F273)</f>
        <v>9783150</v>
      </c>
      <c r="G274" s="4"/>
      <c r="H274" s="9" t="s">
        <v>24</v>
      </c>
      <c r="I274" s="9"/>
      <c r="J274" s="11"/>
    </row>
    <row r="275" spans="5:10" ht="15.75">
      <c r="E275" s="35"/>
      <c r="F275" s="16"/>
      <c r="H275" s="9"/>
      <c r="I275" s="9"/>
      <c r="J275" s="31"/>
    </row>
    <row r="276" spans="5:10" ht="15.75">
      <c r="E276" s="35"/>
      <c r="F276" s="3">
        <f>Input!C20*(2000/60)</f>
        <v>225.00000000000003</v>
      </c>
      <c r="H276" s="7" t="s">
        <v>25</v>
      </c>
      <c r="I276" s="9"/>
      <c r="J276" s="11"/>
    </row>
    <row r="277" spans="5:10" ht="15.75">
      <c r="E277" s="41" t="s">
        <v>1</v>
      </c>
      <c r="F277" s="52">
        <f>F274/1000000</f>
        <v>9.78315</v>
      </c>
      <c r="G277" s="13"/>
      <c r="H277" s="10" t="s">
        <v>21</v>
      </c>
      <c r="I277" s="9"/>
      <c r="J277" s="11"/>
    </row>
    <row r="278" spans="5:10" ht="15.75">
      <c r="E278" s="35" t="s">
        <v>2</v>
      </c>
      <c r="F278" s="16">
        <f>SUM(F276/F277)</f>
        <v>22.99872740375033</v>
      </c>
      <c r="G278" s="4"/>
      <c r="H278" s="9" t="s">
        <v>26</v>
      </c>
      <c r="J278" s="11"/>
    </row>
    <row r="279" spans="5:10" ht="15.75">
      <c r="E279" s="35"/>
      <c r="F279" s="16"/>
      <c r="H279" s="9"/>
      <c r="J279" s="31"/>
    </row>
    <row r="280" spans="5:10" ht="15.75">
      <c r="E280" s="35"/>
      <c r="F280" s="14">
        <f>F274</f>
        <v>9783150</v>
      </c>
      <c r="H280" s="7" t="s">
        <v>24</v>
      </c>
      <c r="J280" s="15"/>
    </row>
    <row r="281" spans="5:10" ht="15">
      <c r="E281" s="41" t="s">
        <v>1</v>
      </c>
      <c r="F281" s="12">
        <f>Input!E6</f>
        <v>3413</v>
      </c>
      <c r="G281" s="13"/>
      <c r="H281" s="10" t="s">
        <v>27</v>
      </c>
      <c r="I281" s="13"/>
      <c r="J281" s="15"/>
    </row>
    <row r="282" spans="5:10" ht="15.75">
      <c r="E282" s="36" t="s">
        <v>2</v>
      </c>
      <c r="F282" s="49">
        <f>SUM(F280/F281)</f>
        <v>2866.4371520656314</v>
      </c>
      <c r="H282" s="7" t="s">
        <v>28</v>
      </c>
      <c r="I282" s="9"/>
      <c r="J282" s="11"/>
    </row>
    <row r="283" spans="5:10" ht="15.75">
      <c r="E283" s="35"/>
      <c r="F283" s="16"/>
      <c r="H283" s="9"/>
      <c r="I283" s="9"/>
      <c r="J283" s="31"/>
    </row>
    <row r="284" spans="5:10" ht="15.75">
      <c r="E284" s="35"/>
      <c r="F284" s="3">
        <f>F276</f>
        <v>225.00000000000003</v>
      </c>
      <c r="H284" s="7" t="s">
        <v>25</v>
      </c>
      <c r="I284" s="9"/>
      <c r="J284" s="11"/>
    </row>
    <row r="285" spans="5:10" ht="15.75">
      <c r="E285" s="41" t="s">
        <v>1</v>
      </c>
      <c r="F285" s="53">
        <f>F282</f>
        <v>2866.4371520656314</v>
      </c>
      <c r="G285" s="13"/>
      <c r="H285" s="7" t="s">
        <v>28</v>
      </c>
      <c r="I285" s="9"/>
      <c r="J285" s="11"/>
    </row>
    <row r="286" spans="5:10" ht="15.75">
      <c r="E286" s="35" t="s">
        <v>2</v>
      </c>
      <c r="F286" s="54">
        <f>SUM(F284/F285)</f>
        <v>0.07849465662899988</v>
      </c>
      <c r="G286" s="4"/>
      <c r="H286" s="9" t="s">
        <v>29</v>
      </c>
      <c r="I286" s="9"/>
      <c r="J286" s="11"/>
    </row>
    <row r="287" spans="5:10" ht="15.75">
      <c r="E287" s="35"/>
      <c r="F287" s="54"/>
      <c r="G287" s="4"/>
      <c r="H287" s="9"/>
      <c r="I287" s="9"/>
      <c r="J287" s="31"/>
    </row>
    <row r="288" spans="3:10" ht="15.75">
      <c r="C288" s="4" t="str">
        <f>" 1.16 "&amp;Input!B21&amp;""</f>
        <v> 1.16 Oats (34 lb)</v>
      </c>
      <c r="E288" s="7"/>
      <c r="F288" s="14">
        <f>Input!E21</f>
        <v>8242</v>
      </c>
      <c r="H288" s="2" t="s">
        <v>18</v>
      </c>
      <c r="I288" s="9"/>
      <c r="J288" s="11"/>
    </row>
    <row r="289" spans="5:10" ht="15.75">
      <c r="E289" s="41" t="s">
        <v>0</v>
      </c>
      <c r="F289" s="112">
        <f>SUM(1-(Input!G21))</f>
        <v>0.875</v>
      </c>
      <c r="H289" s="13" t="s">
        <v>19</v>
      </c>
      <c r="I289" s="9"/>
      <c r="J289" s="11"/>
    </row>
    <row r="290" spans="5:10" ht="15.75">
      <c r="E290" s="36" t="s">
        <v>2</v>
      </c>
      <c r="F290" s="49">
        <f>SUM(F288*F289)</f>
        <v>7211.75</v>
      </c>
      <c r="H290" s="2" t="s">
        <v>91</v>
      </c>
      <c r="I290" s="9"/>
      <c r="J290" s="11"/>
    </row>
    <row r="291" spans="5:10" ht="15.75">
      <c r="E291" s="41" t="s">
        <v>0</v>
      </c>
      <c r="F291" s="12">
        <v>2000</v>
      </c>
      <c r="G291" s="13"/>
      <c r="H291" s="13" t="s">
        <v>20</v>
      </c>
      <c r="I291" s="9"/>
      <c r="J291" s="11"/>
    </row>
    <row r="292" spans="5:10" ht="15.75">
      <c r="E292" s="36" t="s">
        <v>2</v>
      </c>
      <c r="F292" s="14">
        <f>SUM(F290*F291)</f>
        <v>14423500</v>
      </c>
      <c r="H292" s="7" t="s">
        <v>23</v>
      </c>
      <c r="I292" s="9"/>
      <c r="J292" s="11"/>
    </row>
    <row r="293" spans="5:10" ht="15.75">
      <c r="E293" s="41" t="s">
        <v>0</v>
      </c>
      <c r="F293" s="51">
        <f>Input!H21</f>
        <v>0.65</v>
      </c>
      <c r="G293" s="13"/>
      <c r="H293" s="10" t="s">
        <v>22</v>
      </c>
      <c r="I293" s="9"/>
      <c r="J293" s="11"/>
    </row>
    <row r="294" spans="5:10" ht="15.75">
      <c r="E294" s="35" t="s">
        <v>2</v>
      </c>
      <c r="F294" s="50">
        <f>SUM(F292*F293)</f>
        <v>9375275</v>
      </c>
      <c r="G294" s="4"/>
      <c r="H294" s="9" t="s">
        <v>24</v>
      </c>
      <c r="I294" s="9"/>
      <c r="J294" s="11"/>
    </row>
    <row r="295" spans="5:10" ht="15.75">
      <c r="E295" s="35"/>
      <c r="F295" s="16"/>
      <c r="H295" s="9"/>
      <c r="I295" s="9"/>
      <c r="J295" s="31"/>
    </row>
    <row r="296" spans="5:10" ht="15.75">
      <c r="E296" s="35"/>
      <c r="F296" s="3">
        <f>Input!C21*(2000/34)</f>
        <v>199.99999999999997</v>
      </c>
      <c r="H296" s="7" t="s">
        <v>25</v>
      </c>
      <c r="I296" s="9"/>
      <c r="J296" s="11"/>
    </row>
    <row r="297" spans="5:10" ht="15.75">
      <c r="E297" s="41" t="s">
        <v>1</v>
      </c>
      <c r="F297" s="52">
        <f>F294/1000000</f>
        <v>9.375275</v>
      </c>
      <c r="G297" s="13"/>
      <c r="H297" s="10" t="s">
        <v>21</v>
      </c>
      <c r="I297" s="9"/>
      <c r="J297" s="11"/>
    </row>
    <row r="298" spans="5:10" ht="15.75">
      <c r="E298" s="35" t="s">
        <v>2</v>
      </c>
      <c r="F298" s="16">
        <f>SUM(F296/F297)</f>
        <v>21.33270757391116</v>
      </c>
      <c r="G298" s="4"/>
      <c r="H298" s="9" t="s">
        <v>26</v>
      </c>
      <c r="J298" s="11"/>
    </row>
    <row r="299" spans="5:10" ht="15.75">
      <c r="E299" s="35"/>
      <c r="F299" s="16"/>
      <c r="H299" s="9"/>
      <c r="J299" s="31"/>
    </row>
    <row r="300" spans="5:10" ht="15.75">
      <c r="E300" s="35"/>
      <c r="F300" s="14">
        <f>F294</f>
        <v>9375275</v>
      </c>
      <c r="H300" s="7" t="s">
        <v>24</v>
      </c>
      <c r="J300" s="15"/>
    </row>
    <row r="301" spans="5:10" ht="15">
      <c r="E301" s="41" t="s">
        <v>1</v>
      </c>
      <c r="F301" s="12">
        <f>Input!E6</f>
        <v>3413</v>
      </c>
      <c r="G301" s="13"/>
      <c r="H301" s="10" t="s">
        <v>27</v>
      </c>
      <c r="I301" s="13"/>
      <c r="J301" s="15"/>
    </row>
    <row r="302" spans="5:10" ht="15.75">
      <c r="E302" s="36" t="s">
        <v>2</v>
      </c>
      <c r="F302" s="49">
        <f>SUM(F300/F301)</f>
        <v>2746.9308526223263</v>
      </c>
      <c r="H302" s="7" t="s">
        <v>28</v>
      </c>
      <c r="I302" s="9"/>
      <c r="J302" s="11"/>
    </row>
    <row r="303" spans="5:10" ht="15.75">
      <c r="E303" s="35"/>
      <c r="F303" s="16"/>
      <c r="H303" s="9"/>
      <c r="I303" s="9"/>
      <c r="J303" s="31"/>
    </row>
    <row r="304" spans="5:10" ht="15.75">
      <c r="E304" s="35"/>
      <c r="F304" s="3">
        <f>F296</f>
        <v>199.99999999999997</v>
      </c>
      <c r="H304" s="7" t="s">
        <v>25</v>
      </c>
      <c r="I304" s="9"/>
      <c r="J304" s="11"/>
    </row>
    <row r="305" spans="5:10" ht="15.75">
      <c r="E305" s="41" t="s">
        <v>1</v>
      </c>
      <c r="F305" s="53">
        <f>F302</f>
        <v>2746.9308526223263</v>
      </c>
      <c r="G305" s="13"/>
      <c r="H305" s="7" t="s">
        <v>28</v>
      </c>
      <c r="I305" s="9"/>
      <c r="J305" s="11"/>
    </row>
    <row r="306" spans="5:10" ht="15.75">
      <c r="E306" s="35" t="s">
        <v>2</v>
      </c>
      <c r="F306" s="54">
        <f>SUM(F304/F305)</f>
        <v>0.0728085309497588</v>
      </c>
      <c r="G306" s="4"/>
      <c r="H306" s="9" t="s">
        <v>29</v>
      </c>
      <c r="I306" s="9"/>
      <c r="J306" s="11"/>
    </row>
    <row r="307" spans="5:10" ht="15.75">
      <c r="E307" s="35"/>
      <c r="F307" s="54"/>
      <c r="G307" s="4"/>
      <c r="H307" s="9"/>
      <c r="I307" s="9"/>
      <c r="J307" s="31"/>
    </row>
    <row r="308" spans="3:10" ht="15.75">
      <c r="C308" s="4" t="str">
        <f>" 1.17 "&amp;Input!B22&amp;""</f>
        <v> 1.17 Barley (48 lb)</v>
      </c>
      <c r="E308" s="7"/>
      <c r="F308" s="14">
        <f>Input!E22</f>
        <v>8200</v>
      </c>
      <c r="H308" s="2" t="s">
        <v>18</v>
      </c>
      <c r="I308" s="9"/>
      <c r="J308" s="11"/>
    </row>
    <row r="309" spans="5:10" ht="15.75">
      <c r="E309" s="41" t="s">
        <v>0</v>
      </c>
      <c r="F309" s="112">
        <f>SUM(1-(Input!G22))</f>
        <v>0.875</v>
      </c>
      <c r="H309" s="13" t="s">
        <v>19</v>
      </c>
      <c r="I309" s="9"/>
      <c r="J309" s="11"/>
    </row>
    <row r="310" spans="5:10" ht="15.75">
      <c r="E310" s="36" t="s">
        <v>2</v>
      </c>
      <c r="F310" s="49">
        <f>SUM(F308*F309)</f>
        <v>7175</v>
      </c>
      <c r="H310" s="2" t="s">
        <v>91</v>
      </c>
      <c r="I310" s="9"/>
      <c r="J310" s="11"/>
    </row>
    <row r="311" spans="5:10" ht="15.75">
      <c r="E311" s="41" t="s">
        <v>0</v>
      </c>
      <c r="F311" s="12">
        <v>2000</v>
      </c>
      <c r="G311" s="13"/>
      <c r="H311" s="13" t="s">
        <v>20</v>
      </c>
      <c r="I311" s="9"/>
      <c r="J311" s="11"/>
    </row>
    <row r="312" spans="5:10" ht="15.75">
      <c r="E312" s="36" t="s">
        <v>2</v>
      </c>
      <c r="F312" s="14">
        <f>SUM(F310*F311)</f>
        <v>14350000</v>
      </c>
      <c r="H312" s="7" t="s">
        <v>23</v>
      </c>
      <c r="I312" s="9"/>
      <c r="J312" s="11"/>
    </row>
    <row r="313" spans="5:10" ht="15.75">
      <c r="E313" s="41" t="s">
        <v>0</v>
      </c>
      <c r="F313" s="51">
        <f>Input!H22</f>
        <v>0.65</v>
      </c>
      <c r="G313" s="13"/>
      <c r="H313" s="10" t="s">
        <v>22</v>
      </c>
      <c r="I313" s="9"/>
      <c r="J313" s="11"/>
    </row>
    <row r="314" spans="5:10" ht="15.75">
      <c r="E314" s="35" t="s">
        <v>2</v>
      </c>
      <c r="F314" s="50">
        <f>SUM(F312*F313)</f>
        <v>9327500</v>
      </c>
      <c r="G314" s="4"/>
      <c r="H314" s="9" t="s">
        <v>24</v>
      </c>
      <c r="I314" s="9"/>
      <c r="J314" s="11"/>
    </row>
    <row r="315" spans="5:10" ht="15.75">
      <c r="E315" s="35"/>
      <c r="F315" s="16"/>
      <c r="H315" s="9"/>
      <c r="I315" s="9"/>
      <c r="J315" s="31"/>
    </row>
    <row r="316" spans="5:10" ht="15.75">
      <c r="E316" s="35"/>
      <c r="F316" s="3">
        <f>Input!C22*(2000/48)</f>
        <v>197.91666666666666</v>
      </c>
      <c r="H316" s="7" t="s">
        <v>25</v>
      </c>
      <c r="I316" s="9"/>
      <c r="J316" s="11"/>
    </row>
    <row r="317" spans="5:10" ht="15.75">
      <c r="E317" s="41" t="s">
        <v>1</v>
      </c>
      <c r="F317" s="52">
        <f>F314/1000000</f>
        <v>9.3275</v>
      </c>
      <c r="G317" s="13"/>
      <c r="H317" s="10" t="s">
        <v>21</v>
      </c>
      <c r="I317" s="9"/>
      <c r="J317" s="11"/>
    </row>
    <row r="318" spans="5:10" ht="15.75">
      <c r="E318" s="35" t="s">
        <v>2</v>
      </c>
      <c r="F318" s="16">
        <f>SUM(F316/F317)</f>
        <v>21.218618779594387</v>
      </c>
      <c r="G318" s="4"/>
      <c r="H318" s="9" t="s">
        <v>26</v>
      </c>
      <c r="J318" s="11"/>
    </row>
    <row r="319" spans="5:10" ht="15.75">
      <c r="E319" s="35"/>
      <c r="F319" s="16"/>
      <c r="H319" s="9"/>
      <c r="J319" s="31"/>
    </row>
    <row r="320" spans="5:10" ht="15.75">
      <c r="E320" s="35"/>
      <c r="F320" s="14">
        <f>F314</f>
        <v>9327500</v>
      </c>
      <c r="H320" s="7" t="s">
        <v>24</v>
      </c>
      <c r="J320" s="15"/>
    </row>
    <row r="321" spans="5:10" ht="15">
      <c r="E321" s="41" t="s">
        <v>1</v>
      </c>
      <c r="F321" s="12">
        <f>Input!E6</f>
        <v>3413</v>
      </c>
      <c r="G321" s="13"/>
      <c r="H321" s="10" t="s">
        <v>27</v>
      </c>
      <c r="I321" s="13"/>
      <c r="J321" s="15"/>
    </row>
    <row r="322" spans="5:10" ht="15.75">
      <c r="E322" s="36" t="s">
        <v>2</v>
      </c>
      <c r="F322" s="49">
        <f>SUM(F320/F321)</f>
        <v>2732.9329036038675</v>
      </c>
      <c r="H322" s="7" t="s">
        <v>28</v>
      </c>
      <c r="I322" s="9"/>
      <c r="J322" s="11"/>
    </row>
    <row r="323" spans="5:10" ht="15.75">
      <c r="E323" s="35"/>
      <c r="F323" s="16"/>
      <c r="H323" s="9"/>
      <c r="I323" s="9"/>
      <c r="J323" s="31"/>
    </row>
    <row r="324" spans="5:10" ht="15.75">
      <c r="E324" s="35"/>
      <c r="F324" s="3">
        <f>F316</f>
        <v>197.91666666666666</v>
      </c>
      <c r="H324" s="7" t="s">
        <v>25</v>
      </c>
      <c r="I324" s="9"/>
      <c r="J324" s="11"/>
    </row>
    <row r="325" spans="5:10" ht="15.75">
      <c r="E325" s="41" t="s">
        <v>1</v>
      </c>
      <c r="F325" s="53">
        <f>F322</f>
        <v>2732.9329036038675</v>
      </c>
      <c r="G325" s="13"/>
      <c r="H325" s="7" t="s">
        <v>28</v>
      </c>
      <c r="I325" s="9"/>
      <c r="J325" s="11"/>
    </row>
    <row r="326" spans="5:10" ht="15.75">
      <c r="E326" s="35" t="s">
        <v>2</v>
      </c>
      <c r="F326" s="54">
        <f>SUM(F324/F325)</f>
        <v>0.07241914589475565</v>
      </c>
      <c r="G326" s="4"/>
      <c r="H326" s="9" t="s">
        <v>29</v>
      </c>
      <c r="I326" s="9"/>
      <c r="J326" s="11"/>
    </row>
    <row r="327" spans="5:10" ht="15.75">
      <c r="E327" s="35"/>
      <c r="F327" s="54"/>
      <c r="G327" s="4"/>
      <c r="H327" s="9"/>
      <c r="I327" s="9"/>
      <c r="J327" s="31"/>
    </row>
    <row r="328" spans="3:10" ht="15.75">
      <c r="C328" s="4" t="str">
        <f>" 1.18 "&amp;Input!B23&amp;""</f>
        <v> 1.18 Corn (56lb)</v>
      </c>
      <c r="E328" s="7"/>
      <c r="F328" s="14">
        <f>Input!E23</f>
        <v>8500</v>
      </c>
      <c r="H328" s="2" t="s">
        <v>18</v>
      </c>
      <c r="I328" s="9"/>
      <c r="J328" s="11"/>
    </row>
    <row r="329" spans="5:10" ht="15.75">
      <c r="E329" s="41" t="s">
        <v>0</v>
      </c>
      <c r="F329" s="112">
        <f>SUM(1-(Input!G23))</f>
        <v>0.845</v>
      </c>
      <c r="H329" s="13" t="s">
        <v>19</v>
      </c>
      <c r="I329" s="9"/>
      <c r="J329" s="11"/>
    </row>
    <row r="330" spans="5:10" ht="15.75">
      <c r="E330" s="36" t="s">
        <v>2</v>
      </c>
      <c r="F330" s="49">
        <f>SUM(F328*F329)</f>
        <v>7182.5</v>
      </c>
      <c r="H330" s="2" t="s">
        <v>91</v>
      </c>
      <c r="I330" s="9"/>
      <c r="J330" s="11"/>
    </row>
    <row r="331" spans="5:10" ht="15.75">
      <c r="E331" s="41" t="s">
        <v>0</v>
      </c>
      <c r="F331" s="12">
        <v>2000</v>
      </c>
      <c r="G331" s="13"/>
      <c r="H331" s="13" t="s">
        <v>20</v>
      </c>
      <c r="I331" s="9"/>
      <c r="J331" s="11"/>
    </row>
    <row r="332" spans="5:10" ht="15.75">
      <c r="E332" s="36" t="s">
        <v>2</v>
      </c>
      <c r="F332" s="14">
        <f>SUM(F330*F331)</f>
        <v>14365000</v>
      </c>
      <c r="H332" s="7" t="s">
        <v>23</v>
      </c>
      <c r="I332" s="9"/>
      <c r="J332" s="11"/>
    </row>
    <row r="333" spans="5:10" ht="15.75">
      <c r="E333" s="41" t="s">
        <v>0</v>
      </c>
      <c r="F333" s="51">
        <f>Input!H23</f>
        <v>0.65</v>
      </c>
      <c r="G333" s="13"/>
      <c r="H333" s="10" t="s">
        <v>22</v>
      </c>
      <c r="I333" s="9"/>
      <c r="J333" s="11"/>
    </row>
    <row r="334" spans="5:10" ht="15.75">
      <c r="E334" s="35" t="s">
        <v>2</v>
      </c>
      <c r="F334" s="50">
        <f>SUM(F332*F333)</f>
        <v>9337250</v>
      </c>
      <c r="G334" s="4"/>
      <c r="H334" s="9" t="s">
        <v>24</v>
      </c>
      <c r="I334" s="9"/>
      <c r="J334" s="11"/>
    </row>
    <row r="335" spans="5:10" ht="15.75">
      <c r="E335" s="35"/>
      <c r="F335" s="16"/>
      <c r="H335" s="9"/>
      <c r="I335" s="9"/>
      <c r="J335" s="31"/>
    </row>
    <row r="336" spans="5:10" ht="15.75">
      <c r="E336" s="35"/>
      <c r="F336" s="3">
        <f>Input!C23*(2000/56)</f>
        <v>258.92857142857144</v>
      </c>
      <c r="H336" s="7" t="s">
        <v>25</v>
      </c>
      <c r="I336" s="9"/>
      <c r="J336" s="11"/>
    </row>
    <row r="337" spans="5:10" ht="15.75">
      <c r="E337" s="41" t="s">
        <v>1</v>
      </c>
      <c r="F337" s="52">
        <f>F334/1000000</f>
        <v>9.33725</v>
      </c>
      <c r="G337" s="13"/>
      <c r="H337" s="10" t="s">
        <v>21</v>
      </c>
      <c r="I337" s="9"/>
      <c r="J337" s="11"/>
    </row>
    <row r="338" spans="5:10" ht="15.75">
      <c r="E338" s="35" t="s">
        <v>2</v>
      </c>
      <c r="F338" s="16">
        <f>SUM(F336/F337)</f>
        <v>27.730709944423836</v>
      </c>
      <c r="G338" s="4"/>
      <c r="H338" s="9" t="s">
        <v>26</v>
      </c>
      <c r="J338" s="11"/>
    </row>
    <row r="339" spans="5:10" ht="15.75">
      <c r="E339" s="35"/>
      <c r="F339" s="16"/>
      <c r="H339" s="9"/>
      <c r="J339" s="31"/>
    </row>
    <row r="340" spans="5:10" ht="15.75">
      <c r="E340" s="35"/>
      <c r="F340" s="14">
        <f>F334</f>
        <v>9337250</v>
      </c>
      <c r="H340" s="7" t="s">
        <v>24</v>
      </c>
      <c r="J340" s="15"/>
    </row>
    <row r="341" spans="5:10" ht="15">
      <c r="E341" s="41" t="s">
        <v>1</v>
      </c>
      <c r="F341" s="12">
        <f>Input!E6</f>
        <v>3413</v>
      </c>
      <c r="G341" s="13"/>
      <c r="H341" s="10" t="s">
        <v>27</v>
      </c>
      <c r="I341" s="13"/>
      <c r="J341" s="15"/>
    </row>
    <row r="342" spans="5:10" ht="15.75">
      <c r="E342" s="36" t="s">
        <v>2</v>
      </c>
      <c r="F342" s="49">
        <f>SUM(F340/F341)</f>
        <v>2735.789627893349</v>
      </c>
      <c r="H342" s="7" t="s">
        <v>28</v>
      </c>
      <c r="I342" s="9"/>
      <c r="J342" s="11"/>
    </row>
    <row r="343" spans="5:10" ht="15.75">
      <c r="E343" s="35"/>
      <c r="F343" s="16"/>
      <c r="H343" s="9"/>
      <c r="I343" s="9"/>
      <c r="J343" s="31"/>
    </row>
    <row r="344" spans="5:10" ht="15.75">
      <c r="E344" s="35"/>
      <c r="F344" s="3">
        <f>F336</f>
        <v>258.92857142857144</v>
      </c>
      <c r="H344" s="7" t="s">
        <v>25</v>
      </c>
      <c r="I344" s="9"/>
      <c r="J344" s="11"/>
    </row>
    <row r="345" spans="5:10" ht="15.75">
      <c r="E345" s="41" t="s">
        <v>1</v>
      </c>
      <c r="F345" s="53">
        <f>F342</f>
        <v>2735.789627893349</v>
      </c>
      <c r="G345" s="13"/>
      <c r="H345" s="7" t="s">
        <v>28</v>
      </c>
      <c r="I345" s="9"/>
      <c r="J345" s="11"/>
    </row>
    <row r="346" spans="5:10" ht="15.75">
      <c r="E346" s="35" t="s">
        <v>2</v>
      </c>
      <c r="F346" s="54">
        <f>SUM(F344/F345)</f>
        <v>0.09464491304031854</v>
      </c>
      <c r="G346" s="4"/>
      <c r="H346" s="9" t="s">
        <v>29</v>
      </c>
      <c r="I346" s="9"/>
      <c r="J346" s="11"/>
    </row>
    <row r="347" spans="5:10" ht="15.75">
      <c r="E347" s="35"/>
      <c r="F347" s="54"/>
      <c r="G347" s="4"/>
      <c r="H347" s="9"/>
      <c r="I347" s="9"/>
      <c r="J347" s="31"/>
    </row>
    <row r="348" spans="3:10" ht="15.75">
      <c r="C348" s="4" t="str">
        <f>" 1.19 "&amp;Input!B24&amp;""</f>
        <v> 1.19 Sunflower Seeds </v>
      </c>
      <c r="E348" s="7"/>
      <c r="F348" s="14">
        <f>Input!E24</f>
        <v>12000</v>
      </c>
      <c r="H348" s="2" t="s">
        <v>18</v>
      </c>
      <c r="I348" s="9"/>
      <c r="J348" s="11"/>
    </row>
    <row r="349" spans="5:10" ht="15.75">
      <c r="E349" s="41" t="s">
        <v>0</v>
      </c>
      <c r="F349" s="112">
        <f>SUM(1-(Input!G24))</f>
        <v>0.92</v>
      </c>
      <c r="H349" s="13" t="s">
        <v>19</v>
      </c>
      <c r="I349" s="9"/>
      <c r="J349" s="11"/>
    </row>
    <row r="350" spans="5:10" ht="15.75">
      <c r="E350" s="36" t="s">
        <v>2</v>
      </c>
      <c r="F350" s="49">
        <f>SUM(F348*F349)</f>
        <v>11040</v>
      </c>
      <c r="H350" s="2" t="s">
        <v>91</v>
      </c>
      <c r="I350" s="9"/>
      <c r="J350" s="11"/>
    </row>
    <row r="351" spans="5:10" ht="15.75">
      <c r="E351" s="41" t="s">
        <v>0</v>
      </c>
      <c r="F351" s="12">
        <v>2000</v>
      </c>
      <c r="G351" s="13"/>
      <c r="H351" s="13" t="s">
        <v>20</v>
      </c>
      <c r="I351" s="9"/>
      <c r="J351" s="11"/>
    </row>
    <row r="352" spans="5:10" ht="15.75">
      <c r="E352" s="36" t="s">
        <v>2</v>
      </c>
      <c r="F352" s="14">
        <f>SUM(F350*F351)</f>
        <v>22080000</v>
      </c>
      <c r="H352" s="7" t="s">
        <v>23</v>
      </c>
      <c r="I352" s="9"/>
      <c r="J352" s="11"/>
    </row>
    <row r="353" spans="5:10" ht="15.75">
      <c r="E353" s="41" t="s">
        <v>0</v>
      </c>
      <c r="F353" s="51">
        <f>Input!H24</f>
        <v>0.65</v>
      </c>
      <c r="G353" s="13"/>
      <c r="H353" s="10" t="s">
        <v>22</v>
      </c>
      <c r="I353" s="9"/>
      <c r="J353" s="11"/>
    </row>
    <row r="354" spans="5:10" ht="15.75">
      <c r="E354" s="35" t="s">
        <v>2</v>
      </c>
      <c r="F354" s="50">
        <f>SUM(F352*F353)</f>
        <v>14352000</v>
      </c>
      <c r="G354" s="4"/>
      <c r="H354" s="9" t="s">
        <v>24</v>
      </c>
      <c r="I354" s="9"/>
      <c r="J354" s="11"/>
    </row>
    <row r="355" spans="5:10" ht="15.75">
      <c r="E355" s="35"/>
      <c r="F355" s="16"/>
      <c r="H355" s="9"/>
      <c r="I355" s="9"/>
      <c r="J355" s="31"/>
    </row>
    <row r="356" spans="5:10" ht="15.75">
      <c r="E356" s="35"/>
      <c r="F356" s="3">
        <f>Input!C24*(2000)</f>
        <v>400</v>
      </c>
      <c r="H356" s="7" t="s">
        <v>25</v>
      </c>
      <c r="I356" s="9"/>
      <c r="J356" s="11"/>
    </row>
    <row r="357" spans="5:10" ht="15.75">
      <c r="E357" s="41" t="s">
        <v>1</v>
      </c>
      <c r="F357" s="52">
        <f>F354/1000000</f>
        <v>14.352</v>
      </c>
      <c r="G357" s="13"/>
      <c r="H357" s="10" t="s">
        <v>21</v>
      </c>
      <c r="I357" s="9"/>
      <c r="J357" s="11"/>
    </row>
    <row r="358" spans="5:10" ht="15.75">
      <c r="E358" s="35" t="s">
        <v>2</v>
      </c>
      <c r="F358" s="16">
        <f>SUM(F356/F357)</f>
        <v>27.870680044593087</v>
      </c>
      <c r="G358" s="4"/>
      <c r="H358" s="9" t="s">
        <v>26</v>
      </c>
      <c r="J358" s="11"/>
    </row>
    <row r="359" spans="5:10" ht="15.75">
      <c r="E359" s="35"/>
      <c r="F359" s="16"/>
      <c r="H359" s="9"/>
      <c r="J359" s="31"/>
    </row>
    <row r="360" spans="5:10" ht="15.75">
      <c r="E360" s="35"/>
      <c r="F360" s="14">
        <f>F354</f>
        <v>14352000</v>
      </c>
      <c r="H360" s="7" t="s">
        <v>24</v>
      </c>
      <c r="J360" s="15"/>
    </row>
    <row r="361" spans="5:10" ht="15">
      <c r="E361" s="41" t="s">
        <v>1</v>
      </c>
      <c r="F361" s="12">
        <f>Input!E6</f>
        <v>3413</v>
      </c>
      <c r="G361" s="13"/>
      <c r="H361" s="10" t="s">
        <v>27</v>
      </c>
      <c r="I361" s="13"/>
      <c r="J361" s="15"/>
    </row>
    <row r="362" spans="5:10" ht="15.75">
      <c r="E362" s="36" t="s">
        <v>2</v>
      </c>
      <c r="F362" s="49">
        <f>SUM(F360/F361)</f>
        <v>4205.098154116613</v>
      </c>
      <c r="H362" s="7" t="s">
        <v>28</v>
      </c>
      <c r="I362" s="9"/>
      <c r="J362" s="11"/>
    </row>
    <row r="363" spans="5:10" ht="15.75">
      <c r="E363" s="35"/>
      <c r="F363" s="16"/>
      <c r="H363" s="9"/>
      <c r="I363" s="9"/>
      <c r="J363" s="31"/>
    </row>
    <row r="364" spans="5:10" ht="15.75">
      <c r="E364" s="35"/>
      <c r="F364" s="3">
        <f>F356</f>
        <v>400</v>
      </c>
      <c r="H364" s="7" t="s">
        <v>25</v>
      </c>
      <c r="I364" s="9"/>
      <c r="J364" s="11"/>
    </row>
    <row r="365" spans="5:10" ht="15.75">
      <c r="E365" s="41" t="s">
        <v>1</v>
      </c>
      <c r="F365" s="53">
        <f>F362</f>
        <v>4205.098154116613</v>
      </c>
      <c r="G365" s="13"/>
      <c r="H365" s="7" t="s">
        <v>28</v>
      </c>
      <c r="I365" s="9"/>
      <c r="J365" s="11"/>
    </row>
    <row r="366" spans="5:10" ht="15.75">
      <c r="E366" s="35" t="s">
        <v>2</v>
      </c>
      <c r="F366" s="54">
        <f>SUM(F364/F365)</f>
        <v>0.09512263099219621</v>
      </c>
      <c r="G366" s="4"/>
      <c r="H366" s="9" t="s">
        <v>29</v>
      </c>
      <c r="I366" s="9"/>
      <c r="J366" s="11"/>
    </row>
    <row r="367" spans="5:10" ht="15.75">
      <c r="E367" s="35"/>
      <c r="F367" s="54"/>
      <c r="G367" s="4"/>
      <c r="H367" s="9"/>
      <c r="I367" s="9"/>
      <c r="J367" s="31"/>
    </row>
    <row r="368" spans="3:10" ht="15.75">
      <c r="C368" s="4" t="str">
        <f>" 1.20 "&amp;Input!B25&amp;""</f>
        <v> 1.20 Firewood (2100lb/124cft.)</v>
      </c>
      <c r="E368" s="7"/>
      <c r="F368" s="14">
        <f>Input!E25</f>
        <v>6900</v>
      </c>
      <c r="H368" s="2" t="s">
        <v>18</v>
      </c>
      <c r="I368" s="9"/>
      <c r="J368" s="11"/>
    </row>
    <row r="369" spans="5:10" ht="15.75">
      <c r="E369" s="41" t="s">
        <v>0</v>
      </c>
      <c r="F369" s="112">
        <f>SUM(1-(Input!G25))</f>
        <v>0.8</v>
      </c>
      <c r="H369" s="13" t="s">
        <v>19</v>
      </c>
      <c r="I369" s="9"/>
      <c r="J369" s="11"/>
    </row>
    <row r="370" spans="5:10" ht="15.75">
      <c r="E370" s="36" t="s">
        <v>2</v>
      </c>
      <c r="F370" s="49">
        <f>SUM(F368*F369)</f>
        <v>5520</v>
      </c>
      <c r="H370" s="2" t="s">
        <v>91</v>
      </c>
      <c r="I370" s="9"/>
      <c r="J370" s="11"/>
    </row>
    <row r="371" spans="5:10" ht="15.75">
      <c r="E371" s="41" t="s">
        <v>0</v>
      </c>
      <c r="F371" s="12">
        <v>2000</v>
      </c>
      <c r="G371" s="13"/>
      <c r="H371" s="13" t="s">
        <v>20</v>
      </c>
      <c r="I371" s="9"/>
      <c r="J371" s="11"/>
    </row>
    <row r="372" spans="5:10" ht="15.75">
      <c r="E372" s="36" t="s">
        <v>2</v>
      </c>
      <c r="F372" s="14">
        <f>SUM(F370*F371)</f>
        <v>11040000</v>
      </c>
      <c r="H372" s="7" t="s">
        <v>23</v>
      </c>
      <c r="I372" s="9"/>
      <c r="J372" s="11"/>
    </row>
    <row r="373" spans="5:10" ht="15.75">
      <c r="E373" s="41" t="s">
        <v>0</v>
      </c>
      <c r="F373" s="51">
        <f>Input!H25</f>
        <v>0.5</v>
      </c>
      <c r="G373" s="13"/>
      <c r="H373" s="10" t="s">
        <v>22</v>
      </c>
      <c r="I373" s="9"/>
      <c r="J373" s="11"/>
    </row>
    <row r="374" spans="5:10" ht="15.75">
      <c r="E374" s="35" t="s">
        <v>2</v>
      </c>
      <c r="F374" s="50">
        <f>SUM(F372*F373)</f>
        <v>5520000</v>
      </c>
      <c r="G374" s="4"/>
      <c r="H374" s="9" t="s">
        <v>24</v>
      </c>
      <c r="I374" s="9"/>
      <c r="J374" s="11"/>
    </row>
    <row r="375" spans="5:10" ht="15.75">
      <c r="E375" s="35"/>
      <c r="F375" s="16"/>
      <c r="H375" s="9"/>
      <c r="I375" s="9"/>
      <c r="J375" s="31"/>
    </row>
    <row r="376" spans="5:10" ht="15.75">
      <c r="E376" s="35"/>
      <c r="F376" s="3">
        <f>Input!C25*(2000/2100)</f>
        <v>142.85714285714286</v>
      </c>
      <c r="H376" s="7" t="s">
        <v>25</v>
      </c>
      <c r="I376" s="9"/>
      <c r="J376" s="11"/>
    </row>
    <row r="377" spans="5:10" ht="15.75">
      <c r="E377" s="41" t="s">
        <v>1</v>
      </c>
      <c r="F377" s="52">
        <f>F374/1000000</f>
        <v>5.52</v>
      </c>
      <c r="G377" s="13"/>
      <c r="H377" s="10" t="s">
        <v>21</v>
      </c>
      <c r="I377" s="9"/>
      <c r="J377" s="11"/>
    </row>
    <row r="378" spans="5:10" ht="15.75">
      <c r="E378" s="35" t="s">
        <v>2</v>
      </c>
      <c r="F378" s="16">
        <f>SUM(F376/F377)</f>
        <v>25.879917184265015</v>
      </c>
      <c r="G378" s="4"/>
      <c r="H378" s="9" t="s">
        <v>26</v>
      </c>
      <c r="J378" s="11"/>
    </row>
    <row r="379" spans="5:10" ht="15.75">
      <c r="E379" s="35"/>
      <c r="F379" s="16"/>
      <c r="H379" s="9"/>
      <c r="J379" s="31"/>
    </row>
    <row r="380" spans="5:10" ht="15.75">
      <c r="E380" s="35"/>
      <c r="F380" s="14">
        <f>F374</f>
        <v>5520000</v>
      </c>
      <c r="H380" s="7" t="s">
        <v>24</v>
      </c>
      <c r="J380" s="15"/>
    </row>
    <row r="381" spans="5:10" ht="15">
      <c r="E381" s="41" t="s">
        <v>1</v>
      </c>
      <c r="F381" s="12">
        <f>Input!E6</f>
        <v>3413</v>
      </c>
      <c r="G381" s="13"/>
      <c r="H381" s="10" t="s">
        <v>27</v>
      </c>
      <c r="I381" s="13"/>
      <c r="J381" s="15"/>
    </row>
    <row r="382" spans="5:10" ht="15.75">
      <c r="E382" s="36" t="s">
        <v>2</v>
      </c>
      <c r="F382" s="49">
        <f>SUM(F380/F381)</f>
        <v>1617.345443891005</v>
      </c>
      <c r="H382" s="7" t="s">
        <v>28</v>
      </c>
      <c r="I382" s="9"/>
      <c r="J382" s="11"/>
    </row>
    <row r="383" spans="5:10" ht="15.75">
      <c r="E383" s="35"/>
      <c r="F383" s="16"/>
      <c r="H383" s="9"/>
      <c r="I383" s="9"/>
      <c r="J383" s="31"/>
    </row>
    <row r="384" spans="5:10" ht="15.75">
      <c r="E384" s="35"/>
      <c r="F384" s="3">
        <f>F376</f>
        <v>142.85714285714286</v>
      </c>
      <c r="H384" s="7" t="s">
        <v>25</v>
      </c>
      <c r="I384" s="9"/>
      <c r="J384" s="11"/>
    </row>
    <row r="385" spans="5:10" ht="15.75">
      <c r="E385" s="41" t="s">
        <v>1</v>
      </c>
      <c r="F385" s="53">
        <f>F382</f>
        <v>1617.345443891005</v>
      </c>
      <c r="G385" s="13"/>
      <c r="H385" s="7" t="s">
        <v>28</v>
      </c>
      <c r="I385" s="9"/>
      <c r="J385" s="11"/>
    </row>
    <row r="386" spans="5:10" ht="15.75">
      <c r="E386" s="35" t="s">
        <v>2</v>
      </c>
      <c r="F386" s="54">
        <f>SUM(F384/F385)</f>
        <v>0.08832815734989648</v>
      </c>
      <c r="G386" s="4"/>
      <c r="H386" s="9" t="s">
        <v>29</v>
      </c>
      <c r="I386" s="9"/>
      <c r="J386" s="11"/>
    </row>
    <row r="387" spans="5:10" ht="15.75">
      <c r="E387" s="35"/>
      <c r="F387" s="54"/>
      <c r="G387" s="4"/>
      <c r="H387" s="9"/>
      <c r="I387" s="9"/>
      <c r="J387" s="31"/>
    </row>
    <row r="388" spans="3:10" ht="15.75">
      <c r="C388" s="4" t="str">
        <f>" 2.01 "&amp;Input!B6&amp;""</f>
        <v> 2.01 Electricity</v>
      </c>
      <c r="D388" s="122"/>
      <c r="E388" s="36"/>
      <c r="F388" s="56">
        <f>F61</f>
        <v>12.668490929360495</v>
      </c>
      <c r="H388" s="7" t="s">
        <v>85</v>
      </c>
      <c r="I388" s="9"/>
      <c r="J388" s="15"/>
    </row>
    <row r="389" spans="5:10" ht="15.75">
      <c r="E389" s="36" t="s">
        <v>0</v>
      </c>
      <c r="F389" s="14">
        <f>F14</f>
        <v>3413</v>
      </c>
      <c r="G389" s="4"/>
      <c r="H389" s="7" t="str">
        <f>H14</f>
        <v>Btu per kWh</v>
      </c>
      <c r="I389" s="9"/>
      <c r="J389" s="15"/>
    </row>
    <row r="390" spans="5:10" ht="15.75">
      <c r="E390" s="41" t="s">
        <v>1</v>
      </c>
      <c r="F390" s="124">
        <v>1</v>
      </c>
      <c r="H390" s="66" t="s">
        <v>31</v>
      </c>
      <c r="I390" s="9"/>
      <c r="J390" s="11"/>
    </row>
    <row r="391" spans="5:10" ht="15.75">
      <c r="E391" s="36" t="s">
        <v>2</v>
      </c>
      <c r="F391" s="54">
        <f>SUM(F388*F389)/1000000</f>
        <v>0.04323755954190737</v>
      </c>
      <c r="G391" s="4"/>
      <c r="H391" s="9" t="s">
        <v>79</v>
      </c>
      <c r="I391" s="9"/>
      <c r="J391" s="11"/>
    </row>
    <row r="392" spans="5:10" ht="15.75">
      <c r="E392" s="35"/>
      <c r="F392" s="54"/>
      <c r="G392" s="4"/>
      <c r="H392" s="9"/>
      <c r="I392" s="9"/>
      <c r="J392" s="31"/>
    </row>
    <row r="393" spans="3:10" ht="15.75">
      <c r="C393" s="4" t="str">
        <f>" 2.02 "&amp;Input!B7&amp;""</f>
        <v> 2.02 Natural Gas - High Efficiency</v>
      </c>
      <c r="D393" s="122"/>
      <c r="E393" s="36"/>
      <c r="F393" s="56">
        <f>F61</f>
        <v>12.668490929360495</v>
      </c>
      <c r="H393" s="7" t="s">
        <v>85</v>
      </c>
      <c r="I393" s="9"/>
      <c r="J393" s="15"/>
    </row>
    <row r="394" spans="5:10" ht="15.75">
      <c r="E394" s="36" t="s">
        <v>0</v>
      </c>
      <c r="F394" s="14">
        <f>F19</f>
        <v>30216.112</v>
      </c>
      <c r="G394" s="4"/>
      <c r="H394" s="7" t="str">
        <f>H23</f>
        <v>Net Btu per cubic meter</v>
      </c>
      <c r="I394" s="9"/>
      <c r="J394" s="15"/>
    </row>
    <row r="395" spans="5:10" ht="15.75">
      <c r="E395" s="41" t="s">
        <v>1</v>
      </c>
      <c r="F395" s="124">
        <v>1</v>
      </c>
      <c r="H395" s="66" t="s">
        <v>31</v>
      </c>
      <c r="I395" s="9"/>
      <c r="J395" s="11"/>
    </row>
    <row r="396" spans="5:10" ht="15.75">
      <c r="E396" s="36" t="s">
        <v>2</v>
      </c>
      <c r="F396" s="54">
        <f>SUM(F393*F394)/1000000</f>
        <v>0.3827925407925408</v>
      </c>
      <c r="G396" s="4"/>
      <c r="H396" s="9" t="s">
        <v>81</v>
      </c>
      <c r="I396" s="9"/>
      <c r="J396" s="31"/>
    </row>
    <row r="397" spans="5:10" ht="15.75">
      <c r="E397" s="36"/>
      <c r="F397" s="54"/>
      <c r="G397" s="4"/>
      <c r="H397" s="9"/>
      <c r="I397" s="9"/>
      <c r="J397" s="31"/>
    </row>
    <row r="398" spans="5:10" ht="15.75">
      <c r="E398" s="36"/>
      <c r="F398" s="56">
        <f>F12</f>
        <v>0.0738901</v>
      </c>
      <c r="H398" s="7" t="s">
        <v>86</v>
      </c>
      <c r="I398" s="9"/>
      <c r="J398" s="11"/>
    </row>
    <row r="399" spans="5:10" ht="15.75">
      <c r="E399" s="41" t="s">
        <v>0</v>
      </c>
      <c r="F399" s="53">
        <f>F28</f>
        <v>8.85324113682977</v>
      </c>
      <c r="G399" s="4"/>
      <c r="H399" s="10" t="str">
        <f>H28</f>
        <v>kWh per cubic meter</v>
      </c>
      <c r="I399" s="9"/>
      <c r="J399" s="11"/>
    </row>
    <row r="400" spans="5:10" ht="15.75">
      <c r="E400" s="36" t="s">
        <v>2</v>
      </c>
      <c r="F400" s="54">
        <f>SUM(F398*F399)</f>
        <v>0.6541668729244654</v>
      </c>
      <c r="G400" s="4"/>
      <c r="H400" s="9" t="s">
        <v>81</v>
      </c>
      <c r="I400" s="9"/>
      <c r="J400" s="11"/>
    </row>
    <row r="401" spans="5:10" ht="15.75">
      <c r="E401" s="36"/>
      <c r="F401" s="54"/>
      <c r="G401" s="4"/>
      <c r="H401" s="9"/>
      <c r="I401" s="9"/>
      <c r="J401" s="31"/>
    </row>
    <row r="402" spans="3:10" ht="15.75">
      <c r="C402" s="4" t="str">
        <f>" 2.03 "&amp;Input!B8&amp;""</f>
        <v> 2.03 Natural Gas - Low Efficiency</v>
      </c>
      <c r="D402" s="122"/>
      <c r="E402" s="36"/>
      <c r="F402" s="56">
        <f>F61</f>
        <v>12.668490929360495</v>
      </c>
      <c r="H402" s="7" t="s">
        <v>85</v>
      </c>
      <c r="I402" s="9"/>
      <c r="J402" s="15"/>
    </row>
    <row r="403" spans="5:10" ht="15.75">
      <c r="E403" s="36" t="s">
        <v>0</v>
      </c>
      <c r="F403" s="14">
        <f>F36</f>
        <v>24632.699999999997</v>
      </c>
      <c r="G403" s="4"/>
      <c r="H403" s="7" t="str">
        <f>H40</f>
        <v>Net Btu per cubic meter</v>
      </c>
      <c r="I403" s="9"/>
      <c r="J403" s="15"/>
    </row>
    <row r="404" spans="5:10" ht="15.75">
      <c r="E404" s="41" t="s">
        <v>1</v>
      </c>
      <c r="F404" s="124">
        <v>1</v>
      </c>
      <c r="H404" s="66" t="s">
        <v>31</v>
      </c>
      <c r="I404" s="9"/>
      <c r="J404" s="11"/>
    </row>
    <row r="405" spans="5:10" ht="15.75">
      <c r="E405" s="36" t="s">
        <v>2</v>
      </c>
      <c r="F405" s="54">
        <f>SUM(F402*F403)/1000000</f>
        <v>0.31205913651565825</v>
      </c>
      <c r="G405" s="4"/>
      <c r="H405" s="9" t="s">
        <v>81</v>
      </c>
      <c r="I405" s="9"/>
      <c r="J405" s="11"/>
    </row>
    <row r="406" spans="5:10" ht="15.75">
      <c r="E406" s="36"/>
      <c r="F406" s="54"/>
      <c r="G406" s="4"/>
      <c r="H406" s="9"/>
      <c r="I406" s="9"/>
      <c r="J406" s="31"/>
    </row>
    <row r="407" spans="5:10" ht="15.75">
      <c r="E407" s="36"/>
      <c r="F407" s="56">
        <f>F12</f>
        <v>0.0738901</v>
      </c>
      <c r="H407" s="7" t="s">
        <v>86</v>
      </c>
      <c r="I407" s="9"/>
      <c r="J407" s="11"/>
    </row>
    <row r="408" spans="5:10" ht="15.75">
      <c r="E408" s="41" t="s">
        <v>0</v>
      </c>
      <c r="F408" s="53">
        <f>F48</f>
        <v>7.217316144154702</v>
      </c>
      <c r="G408" s="4"/>
      <c r="H408" s="10" t="str">
        <f>H399</f>
        <v>kWh per cubic meter</v>
      </c>
      <c r="I408" s="9"/>
      <c r="J408" s="11"/>
    </row>
    <row r="409" spans="5:10" ht="15.75">
      <c r="E409" s="36" t="s">
        <v>2</v>
      </c>
      <c r="F409" s="54">
        <f>SUM(F407*F408)</f>
        <v>0.5332882116232054</v>
      </c>
      <c r="G409" s="4"/>
      <c r="H409" s="9" t="s">
        <v>81</v>
      </c>
      <c r="I409" s="9"/>
      <c r="J409" s="31"/>
    </row>
    <row r="410" spans="5:10" ht="15.75">
      <c r="E410" s="36"/>
      <c r="F410" s="54"/>
      <c r="G410" s="4"/>
      <c r="H410" s="9"/>
      <c r="I410" s="9"/>
      <c r="J410" s="31"/>
    </row>
    <row r="411" spans="3:10" ht="15.75">
      <c r="C411" s="4" t="str">
        <f>" 2.04 "&amp;Input!B9&amp;""</f>
        <v> 2.04 Coal - lignite</v>
      </c>
      <c r="E411" s="36"/>
      <c r="F411" s="56">
        <f>F12</f>
        <v>0.0738901</v>
      </c>
      <c r="H411" s="7" t="s">
        <v>86</v>
      </c>
      <c r="I411" s="9"/>
      <c r="J411" s="11"/>
    </row>
    <row r="412" spans="5:10" ht="15.75">
      <c r="E412" s="41" t="s">
        <v>0</v>
      </c>
      <c r="F412" s="53">
        <f>F68</f>
        <v>2312.803984764137</v>
      </c>
      <c r="G412" s="4"/>
      <c r="H412" s="7" t="s">
        <v>28</v>
      </c>
      <c r="I412" s="9"/>
      <c r="J412" s="11"/>
    </row>
    <row r="413" spans="5:10" ht="15.75">
      <c r="E413" s="36" t="s">
        <v>2</v>
      </c>
      <c r="F413" s="16">
        <f>SUM(F411*F412)</f>
        <v>170.89331771462057</v>
      </c>
      <c r="G413" s="4"/>
      <c r="H413" s="9" t="s">
        <v>78</v>
      </c>
      <c r="I413" s="9"/>
      <c r="J413" s="11"/>
    </row>
    <row r="414" spans="5:10" ht="15.75">
      <c r="E414" s="36"/>
      <c r="F414" s="54"/>
      <c r="G414" s="4"/>
      <c r="H414" s="9"/>
      <c r="I414" s="9"/>
      <c r="J414" s="31"/>
    </row>
    <row r="415" spans="3:10" ht="15.75">
      <c r="C415" s="4" t="str">
        <f>" 2.05 "&amp;Input!B10&amp;""</f>
        <v> 2.05 # 2 Diesel Fuel Oil</v>
      </c>
      <c r="D415" s="4"/>
      <c r="E415" s="36"/>
      <c r="F415" s="56">
        <f>F61</f>
        <v>12.668490929360495</v>
      </c>
      <c r="H415" s="7" t="s">
        <v>85</v>
      </c>
      <c r="I415" s="9"/>
      <c r="J415" s="15"/>
    </row>
    <row r="416" spans="5:10" ht="15.75">
      <c r="E416" s="36" t="s">
        <v>0</v>
      </c>
      <c r="F416" s="14">
        <f>F73</f>
        <v>25888.939999999995</v>
      </c>
      <c r="G416" s="4"/>
      <c r="H416" s="7" t="str">
        <f>H77</f>
        <v>Net Btu per litre</v>
      </c>
      <c r="I416" s="9"/>
      <c r="J416" s="15"/>
    </row>
    <row r="417" spans="5:10" ht="15.75">
      <c r="E417" s="41" t="s">
        <v>1</v>
      </c>
      <c r="F417" s="124">
        <v>1</v>
      </c>
      <c r="H417" s="66" t="s">
        <v>31</v>
      </c>
      <c r="I417" s="9"/>
      <c r="J417" s="11"/>
    </row>
    <row r="418" spans="5:10" ht="15.75">
      <c r="E418" s="36" t="s">
        <v>2</v>
      </c>
      <c r="F418" s="54">
        <f>SUM(F415*F416)/1000000</f>
        <v>0.327973801560758</v>
      </c>
      <c r="G418" s="4"/>
      <c r="H418" s="9" t="s">
        <v>82</v>
      </c>
      <c r="I418" s="9"/>
      <c r="J418" s="11"/>
    </row>
    <row r="419" spans="5:10" ht="15.75">
      <c r="E419" s="36"/>
      <c r="F419" s="54"/>
      <c r="G419" s="4"/>
      <c r="H419" s="9"/>
      <c r="I419" s="9"/>
      <c r="J419" s="31"/>
    </row>
    <row r="420" spans="5:10" ht="15.75">
      <c r="E420" s="36"/>
      <c r="F420" s="56">
        <f>F12</f>
        <v>0.0738901</v>
      </c>
      <c r="H420" s="7" t="s">
        <v>86</v>
      </c>
      <c r="I420" s="9"/>
      <c r="J420" s="11"/>
    </row>
    <row r="421" spans="5:10" ht="15.75">
      <c r="E421" s="41" t="s">
        <v>0</v>
      </c>
      <c r="F421" s="53">
        <f>F85</f>
        <v>7.5853911514796355</v>
      </c>
      <c r="G421" s="4"/>
      <c r="H421" s="7" t="s">
        <v>77</v>
      </c>
      <c r="I421" s="9"/>
      <c r="J421" s="11"/>
    </row>
    <row r="422" spans="5:10" ht="15.75">
      <c r="E422" s="36" t="s">
        <v>2</v>
      </c>
      <c r="F422" s="54">
        <f>SUM(F420*F421)</f>
        <v>0.5604853107219454</v>
      </c>
      <c r="G422" s="4"/>
      <c r="H422" s="9" t="s">
        <v>82</v>
      </c>
      <c r="I422" s="9"/>
      <c r="J422" s="11"/>
    </row>
    <row r="423" spans="5:10" ht="15.75">
      <c r="E423" s="36"/>
      <c r="F423" s="54"/>
      <c r="G423" s="4"/>
      <c r="H423" s="9"/>
      <c r="I423" s="9"/>
      <c r="J423" s="31"/>
    </row>
    <row r="424" spans="3:10" ht="15.75">
      <c r="C424" s="4" t="str">
        <f>" 2.06 "&amp;Input!B11&amp;""</f>
        <v> 2.06 Wheat Straw cubes</v>
      </c>
      <c r="D424" s="122"/>
      <c r="E424" s="36"/>
      <c r="F424" s="56">
        <f>F61</f>
        <v>12.668490929360495</v>
      </c>
      <c r="H424" s="7" t="s">
        <v>85</v>
      </c>
      <c r="I424" s="9"/>
      <c r="J424" s="11"/>
    </row>
    <row r="425" spans="5:10" ht="15.75">
      <c r="E425" s="41" t="s">
        <v>0</v>
      </c>
      <c r="F425" s="52">
        <f>F97</f>
        <v>8.923941</v>
      </c>
      <c r="G425" s="4"/>
      <c r="H425" s="10" t="s">
        <v>21</v>
      </c>
      <c r="I425" s="9"/>
      <c r="J425" s="11"/>
    </row>
    <row r="426" spans="5:10" ht="15.75">
      <c r="E426" s="36" t="s">
        <v>2</v>
      </c>
      <c r="F426" s="16">
        <f>SUM(F424*F425)</f>
        <v>113.0528656126482</v>
      </c>
      <c r="G426" s="4"/>
      <c r="H426" s="9" t="s">
        <v>78</v>
      </c>
      <c r="I426" s="9"/>
      <c r="J426" s="11"/>
    </row>
    <row r="427" spans="5:10" ht="15.75">
      <c r="E427" s="36"/>
      <c r="F427" s="16"/>
      <c r="G427" s="4"/>
      <c r="H427" s="9"/>
      <c r="I427" s="9"/>
      <c r="J427" s="31"/>
    </row>
    <row r="428" spans="5:10" ht="15.75">
      <c r="E428" s="36"/>
      <c r="F428" s="56">
        <f>F12</f>
        <v>0.0738901</v>
      </c>
      <c r="H428" s="7" t="s">
        <v>86</v>
      </c>
      <c r="I428" s="9"/>
      <c r="J428" s="11"/>
    </row>
    <row r="429" spans="5:10" ht="15.75">
      <c r="E429" s="41" t="s">
        <v>0</v>
      </c>
      <c r="F429" s="53">
        <f>F105</f>
        <v>2614.691180779373</v>
      </c>
      <c r="G429" s="4"/>
      <c r="H429" s="7" t="s">
        <v>28</v>
      </c>
      <c r="I429" s="9"/>
      <c r="J429" s="11"/>
    </row>
    <row r="430" spans="5:10" ht="15.75">
      <c r="E430" s="36" t="s">
        <v>2</v>
      </c>
      <c r="F430" s="16">
        <f>SUM(F428*F429)</f>
        <v>193.19979281690595</v>
      </c>
      <c r="G430" s="4"/>
      <c r="H430" s="9" t="s">
        <v>78</v>
      </c>
      <c r="I430" s="9"/>
      <c r="J430" s="11"/>
    </row>
    <row r="431" spans="5:10" ht="15.75">
      <c r="E431" s="36"/>
      <c r="F431" s="54"/>
      <c r="G431" s="4"/>
      <c r="H431" s="9"/>
      <c r="I431" s="9"/>
      <c r="J431" s="31"/>
    </row>
    <row r="432" spans="3:10" ht="15.75">
      <c r="C432" s="4" t="str">
        <f>" 2.07 "&amp;Input!B12&amp;""</f>
        <v> 2.07 Flax Straw cubes</v>
      </c>
      <c r="D432" s="122"/>
      <c r="E432" s="36"/>
      <c r="F432" s="56">
        <f>F61</f>
        <v>12.668490929360495</v>
      </c>
      <c r="H432" s="7" t="s">
        <v>85</v>
      </c>
      <c r="I432" s="9"/>
      <c r="J432" s="11"/>
    </row>
    <row r="433" spans="5:10" ht="15.75">
      <c r="E433" s="41" t="s">
        <v>0</v>
      </c>
      <c r="F433" s="52">
        <f>F117</f>
        <v>9.711897</v>
      </c>
      <c r="G433" s="4"/>
      <c r="H433" s="10" t="s">
        <v>21</v>
      </c>
      <c r="I433" s="9"/>
      <c r="J433" s="11"/>
    </row>
    <row r="434" spans="5:10" ht="15.75">
      <c r="E434" s="36" t="s">
        <v>2</v>
      </c>
      <c r="F434" s="16">
        <f>SUM(F432*F433)</f>
        <v>123.0350790513834</v>
      </c>
      <c r="G434" s="4"/>
      <c r="H434" s="9" t="s">
        <v>78</v>
      </c>
      <c r="I434" s="9"/>
      <c r="J434" s="11"/>
    </row>
    <row r="435" spans="5:10" ht="15.75">
      <c r="E435" s="36"/>
      <c r="F435" s="16"/>
      <c r="G435" s="4"/>
      <c r="H435" s="9"/>
      <c r="I435" s="9"/>
      <c r="J435" s="31"/>
    </row>
    <row r="436" spans="5:10" ht="15.75">
      <c r="E436" s="36"/>
      <c r="F436" s="56">
        <f>F12</f>
        <v>0.0738901</v>
      </c>
      <c r="H436" s="7" t="s">
        <v>86</v>
      </c>
      <c r="I436" s="9"/>
      <c r="J436" s="11"/>
    </row>
    <row r="437" spans="5:10" ht="15.75">
      <c r="E437" s="41" t="s">
        <v>0</v>
      </c>
      <c r="F437" s="53">
        <f>F125</f>
        <v>2845.5602109581014</v>
      </c>
      <c r="G437" s="4"/>
      <c r="H437" s="7" t="s">
        <v>28</v>
      </c>
      <c r="I437" s="9"/>
      <c r="J437" s="11"/>
    </row>
    <row r="438" spans="5:10" ht="15.75">
      <c r="E438" s="36" t="s">
        <v>2</v>
      </c>
      <c r="F438" s="16">
        <f>SUM(F436*F437)</f>
        <v>210.2587285437152</v>
      </c>
      <c r="G438" s="4"/>
      <c r="H438" s="9" t="s">
        <v>78</v>
      </c>
      <c r="I438" s="9"/>
      <c r="J438" s="11"/>
    </row>
    <row r="439" spans="5:10" ht="15.75">
      <c r="E439" s="36"/>
      <c r="F439" s="54"/>
      <c r="G439" s="4"/>
      <c r="H439" s="9"/>
      <c r="I439" s="9"/>
      <c r="J439" s="31"/>
    </row>
    <row r="440" spans="3:10" ht="15.75">
      <c r="C440" s="4" t="str">
        <f>" 2.08 "&amp;Input!B13&amp;""</f>
        <v> 2.08 Switchgrass Biomass cubes</v>
      </c>
      <c r="D440" s="122"/>
      <c r="E440" s="36"/>
      <c r="F440" s="56">
        <f>F61</f>
        <v>12.668490929360495</v>
      </c>
      <c r="H440" s="7" t="s">
        <v>85</v>
      </c>
      <c r="I440" s="9"/>
      <c r="J440" s="11"/>
    </row>
    <row r="441" spans="5:10" ht="15.75">
      <c r="E441" s="41" t="s">
        <v>0</v>
      </c>
      <c r="F441" s="52">
        <f>F137</f>
        <v>8.967699</v>
      </c>
      <c r="G441" s="4"/>
      <c r="H441" s="10" t="s">
        <v>21</v>
      </c>
      <c r="I441" s="9"/>
      <c r="J441" s="11"/>
    </row>
    <row r="442" spans="5:10" ht="15.75">
      <c r="E442" s="36" t="s">
        <v>2</v>
      </c>
      <c r="F442" s="16">
        <f>SUM(F440*F441)</f>
        <v>113.60721343873517</v>
      </c>
      <c r="G442" s="4"/>
      <c r="H442" s="9" t="s">
        <v>78</v>
      </c>
      <c r="I442" s="9"/>
      <c r="J442" s="11"/>
    </row>
    <row r="443" spans="5:10" ht="15.75">
      <c r="E443" s="36"/>
      <c r="F443" s="54"/>
      <c r="G443" s="4"/>
      <c r="H443" s="9"/>
      <c r="I443" s="9"/>
      <c r="J443" s="31"/>
    </row>
    <row r="444" spans="5:10" ht="15.75">
      <c r="E444" s="36"/>
      <c r="F444" s="56">
        <f>F12</f>
        <v>0.0738901</v>
      </c>
      <c r="H444" s="7" t="s">
        <v>86</v>
      </c>
      <c r="I444" s="9"/>
      <c r="J444" s="11"/>
    </row>
    <row r="445" spans="5:10" ht="15.75">
      <c r="E445" s="41" t="s">
        <v>0</v>
      </c>
      <c r="F445" s="53">
        <f>F145</f>
        <v>2627.5121593905656</v>
      </c>
      <c r="G445" s="4"/>
      <c r="H445" s="7" t="s">
        <v>28</v>
      </c>
      <c r="I445" s="9"/>
      <c r="J445" s="11"/>
    </row>
    <row r="446" spans="5:10" ht="15.75">
      <c r="E446" s="36" t="s">
        <v>2</v>
      </c>
      <c r="F446" s="16">
        <f>SUM(F444*F445)</f>
        <v>194.14713620858484</v>
      </c>
      <c r="G446" s="4"/>
      <c r="H446" s="9" t="s">
        <v>78</v>
      </c>
      <c r="I446" s="9"/>
      <c r="J446" s="11"/>
    </row>
    <row r="447" spans="5:10" ht="15.75">
      <c r="E447" s="36"/>
      <c r="F447" s="54"/>
      <c r="G447" s="4"/>
      <c r="H447" s="9"/>
      <c r="I447" s="9"/>
      <c r="J447" s="31"/>
    </row>
    <row r="448" spans="3:10" ht="15.75">
      <c r="C448" s="4" t="str">
        <f>" 2.09 "&amp;Input!B14&amp;""</f>
        <v> 2.09 Hemp Biomass cubes</v>
      </c>
      <c r="E448" s="36"/>
      <c r="F448" s="56">
        <f>F61</f>
        <v>12.668490929360495</v>
      </c>
      <c r="H448" s="7" t="s">
        <v>85</v>
      </c>
      <c r="I448" s="9"/>
      <c r="J448" s="11"/>
    </row>
    <row r="449" spans="5:10" ht="15.75">
      <c r="E449" s="41" t="s">
        <v>0</v>
      </c>
      <c r="F449" s="52">
        <f>F158</f>
        <v>12.654735781771612</v>
      </c>
      <c r="G449" s="4"/>
      <c r="H449" s="10" t="s">
        <v>21</v>
      </c>
      <c r="I449" s="9"/>
      <c r="J449" s="11"/>
    </row>
    <row r="450" spans="5:10" ht="15.75">
      <c r="E450" s="36" t="s">
        <v>2</v>
      </c>
      <c r="F450" s="16">
        <f>SUM(F448*F449)</f>
        <v>160.31640546482734</v>
      </c>
      <c r="G450" s="4"/>
      <c r="H450" s="9" t="s">
        <v>78</v>
      </c>
      <c r="I450" s="9"/>
      <c r="J450" s="11"/>
    </row>
    <row r="451" spans="5:10" ht="15.75">
      <c r="E451" s="36"/>
      <c r="F451" s="54"/>
      <c r="G451" s="4"/>
      <c r="H451" s="9"/>
      <c r="I451" s="9"/>
      <c r="J451" s="31"/>
    </row>
    <row r="452" spans="5:10" ht="15.75">
      <c r="E452" s="36"/>
      <c r="F452" s="56">
        <f>F12</f>
        <v>0.0738901</v>
      </c>
      <c r="H452" s="7" t="s">
        <v>86</v>
      </c>
      <c r="I452" s="9"/>
      <c r="J452" s="11"/>
    </row>
    <row r="453" spans="5:10" ht="15.75">
      <c r="E453" s="41" t="s">
        <v>0</v>
      </c>
      <c r="F453" s="53">
        <f>F165</f>
        <v>2778.381482566657</v>
      </c>
      <c r="G453" s="4"/>
      <c r="H453" s="7" t="s">
        <v>28</v>
      </c>
      <c r="I453" s="9"/>
      <c r="J453" s="11"/>
    </row>
    <row r="454" spans="5:10" ht="15.75">
      <c r="E454" s="36" t="s">
        <v>2</v>
      </c>
      <c r="F454" s="16">
        <f>SUM(F452*F453)</f>
        <v>205.29488558499853</v>
      </c>
      <c r="G454" s="4"/>
      <c r="H454" s="9" t="s">
        <v>78</v>
      </c>
      <c r="I454" s="9"/>
      <c r="J454" s="11"/>
    </row>
    <row r="455" spans="5:10" ht="15.75">
      <c r="E455" s="36"/>
      <c r="F455" s="54"/>
      <c r="G455" s="4"/>
      <c r="H455" s="9"/>
      <c r="I455" s="9"/>
      <c r="J455" s="31"/>
    </row>
    <row r="456" spans="3:10" ht="15.75">
      <c r="C456" s="4" t="str">
        <f>" 2.10 "&amp;Input!B15&amp;""</f>
        <v> 2.10 Willow Biomass </v>
      </c>
      <c r="E456" s="36"/>
      <c r="F456" s="56">
        <f>F61</f>
        <v>12.668490929360495</v>
      </c>
      <c r="H456" s="7" t="s">
        <v>85</v>
      </c>
      <c r="I456" s="9"/>
      <c r="J456" s="11"/>
    </row>
    <row r="457" spans="5:10" ht="15.75">
      <c r="E457" s="41" t="s">
        <v>0</v>
      </c>
      <c r="F457" s="52">
        <f>F177</f>
        <v>8.048560000000002</v>
      </c>
      <c r="G457" s="4"/>
      <c r="H457" s="10" t="s">
        <v>21</v>
      </c>
      <c r="I457" s="9"/>
      <c r="J457" s="11"/>
    </row>
    <row r="458" spans="5:10" ht="15.75">
      <c r="E458" s="36" t="s">
        <v>2</v>
      </c>
      <c r="F458" s="16">
        <f>SUM(F456*F457)</f>
        <v>101.96310935441373</v>
      </c>
      <c r="G458" s="4"/>
      <c r="H458" s="9" t="s">
        <v>78</v>
      </c>
      <c r="I458" s="9"/>
      <c r="J458" s="11"/>
    </row>
    <row r="459" spans="5:10" ht="15.75">
      <c r="E459" s="36"/>
      <c r="F459" s="54"/>
      <c r="G459" s="4"/>
      <c r="H459" s="9"/>
      <c r="I459" s="9"/>
      <c r="J459" s="31"/>
    </row>
    <row r="460" spans="5:10" ht="15.75">
      <c r="E460" s="36"/>
      <c r="F460" s="56">
        <f>F12</f>
        <v>0.0738901</v>
      </c>
      <c r="H460" s="7" t="s">
        <v>86</v>
      </c>
      <c r="I460" s="9"/>
      <c r="J460" s="11"/>
    </row>
    <row r="461" spans="5:10" ht="15.75">
      <c r="E461" s="41" t="s">
        <v>0</v>
      </c>
      <c r="F461" s="53">
        <f>F185</f>
        <v>2358.2068561382953</v>
      </c>
      <c r="G461" s="4"/>
      <c r="H461" s="7" t="s">
        <v>28</v>
      </c>
      <c r="I461" s="9"/>
      <c r="J461" s="11"/>
    </row>
    <row r="462" spans="5:10" ht="15.75">
      <c r="E462" s="36" t="s">
        <v>2</v>
      </c>
      <c r="F462" s="16">
        <f>SUM(F460*F461)</f>
        <v>174.24814042074425</v>
      </c>
      <c r="G462" s="4"/>
      <c r="H462" s="9" t="s">
        <v>78</v>
      </c>
      <c r="I462" s="9"/>
      <c r="J462" s="11"/>
    </row>
    <row r="463" spans="5:10" ht="15.75">
      <c r="E463" s="36"/>
      <c r="F463" s="54"/>
      <c r="G463" s="4"/>
      <c r="H463" s="9"/>
      <c r="I463" s="9"/>
      <c r="J463" s="31"/>
    </row>
    <row r="464" spans="3:10" ht="15.75">
      <c r="C464" s="4" t="str">
        <f>" 2.11 "&amp;Input!B16&amp;""</f>
        <v> 2.11 Sunflower Hulls </v>
      </c>
      <c r="E464" s="36"/>
      <c r="F464" s="56">
        <f>F61</f>
        <v>12.668490929360495</v>
      </c>
      <c r="H464" s="7" t="s">
        <v>85</v>
      </c>
      <c r="I464" s="9"/>
      <c r="J464" s="11"/>
    </row>
    <row r="465" spans="5:10" ht="15.75">
      <c r="E465" s="41" t="s">
        <v>0</v>
      </c>
      <c r="F465" s="52">
        <f>F197</f>
        <v>8.764470000000001</v>
      </c>
      <c r="G465" s="4"/>
      <c r="H465" s="10" t="s">
        <v>21</v>
      </c>
      <c r="I465" s="9"/>
      <c r="J465" s="11"/>
    </row>
    <row r="466" spans="5:10" ht="15.75">
      <c r="E466" s="36" t="s">
        <v>2</v>
      </c>
      <c r="F466" s="16">
        <f>SUM(F464*F465)</f>
        <v>111.03260869565219</v>
      </c>
      <c r="G466" s="4"/>
      <c r="H466" s="9" t="s">
        <v>78</v>
      </c>
      <c r="I466" s="9"/>
      <c r="J466" s="11"/>
    </row>
    <row r="467" spans="5:10" ht="15.75">
      <c r="E467" s="36"/>
      <c r="F467" s="54"/>
      <c r="G467" s="4"/>
      <c r="H467" s="9"/>
      <c r="I467" s="9"/>
      <c r="J467" s="31"/>
    </row>
    <row r="468" spans="5:10" ht="15.75">
      <c r="E468" s="36"/>
      <c r="F468" s="56">
        <f>F12</f>
        <v>0.0738901</v>
      </c>
      <c r="H468" s="7" t="s">
        <v>86</v>
      </c>
      <c r="I468" s="9"/>
      <c r="J468" s="11"/>
    </row>
    <row r="469" spans="5:10" ht="15.75">
      <c r="E469" s="41" t="s">
        <v>0</v>
      </c>
      <c r="F469" s="53">
        <f>F205</f>
        <v>2567.9665983006157</v>
      </c>
      <c r="G469" s="4"/>
      <c r="H469" s="7" t="s">
        <v>28</v>
      </c>
      <c r="I469" s="9"/>
      <c r="J469" s="11"/>
    </row>
    <row r="470" spans="5:10" ht="15.75">
      <c r="E470" s="36" t="s">
        <v>2</v>
      </c>
      <c r="F470" s="16">
        <f>SUM(F468*F469)</f>
        <v>189.7473087450923</v>
      </c>
      <c r="G470" s="4"/>
      <c r="H470" s="9" t="s">
        <v>78</v>
      </c>
      <c r="I470" s="9"/>
      <c r="J470" s="11"/>
    </row>
    <row r="471" spans="5:10" ht="15.75">
      <c r="E471" s="36"/>
      <c r="F471" s="54"/>
      <c r="G471" s="4"/>
      <c r="H471" s="9"/>
      <c r="I471" s="9"/>
      <c r="J471" s="31"/>
    </row>
    <row r="472" spans="3:10" ht="15.75">
      <c r="C472" s="4" t="str">
        <f>" 2.12 "&amp;Input!B17&amp;""</f>
        <v> 2.12 Oat Hull Pellets </v>
      </c>
      <c r="E472" s="36"/>
      <c r="F472" s="56">
        <f>F61</f>
        <v>12.668490929360495</v>
      </c>
      <c r="H472" s="7" t="s">
        <v>85</v>
      </c>
      <c r="I472" s="9"/>
      <c r="J472" s="11"/>
    </row>
    <row r="473" spans="5:10" ht="15.75">
      <c r="E473" s="41" t="s">
        <v>0</v>
      </c>
      <c r="F473" s="52">
        <f>F217</f>
        <v>9.247472000000002</v>
      </c>
      <c r="G473" s="4"/>
      <c r="H473" s="10" t="s">
        <v>21</v>
      </c>
      <c r="I473" s="9"/>
      <c r="J473" s="11"/>
    </row>
    <row r="474" spans="5:10" ht="15.75">
      <c r="E474" s="36" t="s">
        <v>2</v>
      </c>
      <c r="F474" s="16">
        <f>SUM(F472*F473)</f>
        <v>117.15151515151517</v>
      </c>
      <c r="G474" s="4"/>
      <c r="H474" s="9" t="s">
        <v>78</v>
      </c>
      <c r="I474" s="9"/>
      <c r="J474" s="11"/>
    </row>
    <row r="475" spans="5:10" ht="15.75">
      <c r="E475" s="36"/>
      <c r="F475" s="54"/>
      <c r="G475" s="4"/>
      <c r="H475" s="9"/>
      <c r="I475" s="9"/>
      <c r="J475" s="31"/>
    </row>
    <row r="476" spans="5:10" ht="15.75">
      <c r="E476" s="36"/>
      <c r="F476" s="56">
        <f>F12</f>
        <v>0.0738901</v>
      </c>
      <c r="H476" s="7" t="s">
        <v>86</v>
      </c>
      <c r="I476" s="9"/>
      <c r="J476" s="11"/>
    </row>
    <row r="477" spans="5:10" ht="15.75">
      <c r="E477" s="41" t="s">
        <v>0</v>
      </c>
      <c r="F477" s="53">
        <f>F225</f>
        <v>2709.4849106358047</v>
      </c>
      <c r="G477" s="4"/>
      <c r="H477" s="7" t="s">
        <v>28</v>
      </c>
      <c r="I477" s="9"/>
      <c r="J477" s="11"/>
    </row>
    <row r="478" spans="5:10" ht="15.75">
      <c r="E478" s="36" t="s">
        <v>2</v>
      </c>
      <c r="F478" s="16">
        <f>SUM(F476*F477)</f>
        <v>200.20411099537068</v>
      </c>
      <c r="G478" s="4"/>
      <c r="H478" s="9" t="s">
        <v>78</v>
      </c>
      <c r="I478" s="9"/>
      <c r="J478" s="11"/>
    </row>
    <row r="479" spans="5:10" ht="15.75">
      <c r="E479" s="36"/>
      <c r="F479" s="54"/>
      <c r="G479" s="4"/>
      <c r="H479" s="9"/>
      <c r="I479" s="9"/>
      <c r="J479" s="31"/>
    </row>
    <row r="480" spans="3:10" ht="15.75">
      <c r="C480" s="4" t="str">
        <f>" 2.13 "&amp;Input!B18&amp;""</f>
        <v> 2.13 Wood Pellets #1</v>
      </c>
      <c r="E480" s="36"/>
      <c r="F480" s="56">
        <f>F61</f>
        <v>12.668490929360495</v>
      </c>
      <c r="H480" s="7" t="s">
        <v>85</v>
      </c>
      <c r="I480" s="9"/>
      <c r="J480" s="11"/>
    </row>
    <row r="481" spans="5:10" ht="15.75">
      <c r="E481" s="41" t="s">
        <v>0</v>
      </c>
      <c r="F481" s="52">
        <f>F237</f>
        <v>10.127</v>
      </c>
      <c r="G481" s="4"/>
      <c r="H481" s="10" t="s">
        <v>21</v>
      </c>
      <c r="I481" s="9"/>
      <c r="J481" s="11"/>
    </row>
    <row r="482" spans="5:10" ht="15.75">
      <c r="E482" s="36" t="s">
        <v>2</v>
      </c>
      <c r="F482" s="16">
        <f>SUM(F480*F481)</f>
        <v>128.29380764163375</v>
      </c>
      <c r="G482" s="4"/>
      <c r="H482" s="9" t="s">
        <v>78</v>
      </c>
      <c r="I482" s="9"/>
      <c r="J482" s="11"/>
    </row>
    <row r="483" spans="5:10" ht="15.75">
      <c r="E483" s="36"/>
      <c r="F483" s="54"/>
      <c r="G483" s="4"/>
      <c r="H483" s="9"/>
      <c r="I483" s="9"/>
      <c r="J483" s="31"/>
    </row>
    <row r="484" spans="5:10" ht="15.75">
      <c r="E484" s="36"/>
      <c r="F484" s="56">
        <f>F12</f>
        <v>0.0738901</v>
      </c>
      <c r="H484" s="7" t="s">
        <v>86</v>
      </c>
      <c r="I484" s="9"/>
      <c r="J484" s="11"/>
    </row>
    <row r="485" spans="5:10" ht="15.75">
      <c r="E485" s="41" t="s">
        <v>0</v>
      </c>
      <c r="F485" s="53">
        <f>F245</f>
        <v>2967.184295341342</v>
      </c>
      <c r="G485" s="4"/>
      <c r="H485" s="7" t="s">
        <v>28</v>
      </c>
      <c r="I485" s="9"/>
      <c r="J485" s="11"/>
    </row>
    <row r="486" spans="5:10" ht="15.75">
      <c r="E486" s="36" t="s">
        <v>2</v>
      </c>
      <c r="F486" s="16">
        <f>SUM(F484*F485)</f>
        <v>219.2455443012013</v>
      </c>
      <c r="G486" s="4"/>
      <c r="H486" s="9" t="s">
        <v>78</v>
      </c>
      <c r="I486" s="9"/>
      <c r="J486" s="11"/>
    </row>
    <row r="487" spans="5:10" ht="15.75">
      <c r="E487" s="36"/>
      <c r="F487" s="16"/>
      <c r="G487" s="4"/>
      <c r="H487" s="9"/>
      <c r="I487" s="9"/>
      <c r="J487" s="31"/>
    </row>
    <row r="488" spans="3:10" ht="15.75">
      <c r="C488" s="4" t="str">
        <f>" 2.14 "&amp;Input!B19&amp;""</f>
        <v> 2.14 Recycled Fuel Pucks</v>
      </c>
      <c r="E488" s="36"/>
      <c r="F488" s="56">
        <f>F61</f>
        <v>12.668490929360495</v>
      </c>
      <c r="H488" s="7" t="s">
        <v>85</v>
      </c>
      <c r="I488" s="9"/>
      <c r="J488" s="11"/>
    </row>
    <row r="489" spans="5:10" ht="15.75">
      <c r="E489" s="41" t="s">
        <v>0</v>
      </c>
      <c r="F489" s="52">
        <f>F257</f>
        <v>9.88</v>
      </c>
      <c r="G489" s="4"/>
      <c r="H489" s="10" t="s">
        <v>21</v>
      </c>
      <c r="I489" s="9"/>
      <c r="J489" s="11"/>
    </row>
    <row r="490" spans="5:10" ht="15.75">
      <c r="E490" s="36" t="s">
        <v>2</v>
      </c>
      <c r="F490" s="16">
        <f>SUM(F488*F489)</f>
        <v>125.1646903820817</v>
      </c>
      <c r="G490" s="4"/>
      <c r="H490" s="9" t="s">
        <v>78</v>
      </c>
      <c r="I490" s="9"/>
      <c r="J490" s="11"/>
    </row>
    <row r="491" spans="5:10" ht="15.75">
      <c r="E491" s="36"/>
      <c r="F491" s="54"/>
      <c r="G491" s="4"/>
      <c r="H491" s="9"/>
      <c r="I491" s="9"/>
      <c r="J491" s="31"/>
    </row>
    <row r="492" spans="5:10" ht="15.75">
      <c r="E492" s="36"/>
      <c r="F492" s="56">
        <f>F12</f>
        <v>0.0738901</v>
      </c>
      <c r="H492" s="7" t="s">
        <v>86</v>
      </c>
      <c r="I492" s="9"/>
      <c r="J492" s="11"/>
    </row>
    <row r="493" spans="5:10" ht="15.75">
      <c r="E493" s="41" t="s">
        <v>0</v>
      </c>
      <c r="F493" s="53">
        <f>F265</f>
        <v>2894.81394667448</v>
      </c>
      <c r="G493" s="4"/>
      <c r="H493" s="7" t="s">
        <v>28</v>
      </c>
      <c r="I493" s="9"/>
      <c r="J493" s="11"/>
    </row>
    <row r="494" spans="5:10" ht="15.75">
      <c r="E494" s="36" t="s">
        <v>2</v>
      </c>
      <c r="F494" s="16">
        <f>SUM(F492*F493)</f>
        <v>213.89809200117202</v>
      </c>
      <c r="G494" s="4"/>
      <c r="H494" s="9" t="s">
        <v>78</v>
      </c>
      <c r="I494" s="9"/>
      <c r="J494" s="11"/>
    </row>
    <row r="495" spans="5:10" ht="15.75">
      <c r="E495" s="36"/>
      <c r="F495" s="16"/>
      <c r="G495" s="4"/>
      <c r="H495" s="9"/>
      <c r="I495" s="9"/>
      <c r="J495" s="31"/>
    </row>
    <row r="496" spans="3:10" ht="15.75">
      <c r="C496" s="4" t="str">
        <f>" 2.15 "&amp;Input!B20&amp;""</f>
        <v> 2.15 Wheat HRS (60lb)</v>
      </c>
      <c r="E496" s="36"/>
      <c r="F496" s="56">
        <f>F61</f>
        <v>12.668490929360495</v>
      </c>
      <c r="H496" s="7" t="s">
        <v>85</v>
      </c>
      <c r="I496" s="9"/>
      <c r="J496" s="11"/>
    </row>
    <row r="497" spans="5:10" ht="15.75">
      <c r="E497" s="41" t="s">
        <v>0</v>
      </c>
      <c r="F497" s="52">
        <f>F277</f>
        <v>9.78315</v>
      </c>
      <c r="G497" s="4"/>
      <c r="H497" s="10" t="s">
        <v>21</v>
      </c>
      <c r="I497" s="9"/>
      <c r="J497" s="11"/>
    </row>
    <row r="498" spans="5:10" ht="15.75">
      <c r="E498" s="36" t="s">
        <v>2</v>
      </c>
      <c r="F498" s="16">
        <f>SUM(F496*F497)/(2000/60)</f>
        <v>3.718132411067193</v>
      </c>
      <c r="G498" s="4"/>
      <c r="H498" s="9" t="s">
        <v>87</v>
      </c>
      <c r="I498" s="9"/>
      <c r="J498" s="11"/>
    </row>
    <row r="499" spans="5:10" ht="15.75">
      <c r="E499" s="36"/>
      <c r="F499" s="54"/>
      <c r="G499" s="4"/>
      <c r="H499" s="9"/>
      <c r="I499" s="9"/>
      <c r="J499" s="31"/>
    </row>
    <row r="500" spans="5:10" ht="15.75">
      <c r="E500" s="36"/>
      <c r="F500" s="56">
        <f>F12</f>
        <v>0.0738901</v>
      </c>
      <c r="H500" s="7" t="s">
        <v>86</v>
      </c>
      <c r="I500" s="9"/>
      <c r="J500" s="11"/>
    </row>
    <row r="501" spans="5:10" ht="15.75">
      <c r="E501" s="41" t="s">
        <v>0</v>
      </c>
      <c r="F501" s="53">
        <f>F285</f>
        <v>2866.4371520656314</v>
      </c>
      <c r="G501" s="4"/>
      <c r="H501" s="7" t="s">
        <v>28</v>
      </c>
      <c r="I501" s="9"/>
      <c r="J501" s="11"/>
    </row>
    <row r="502" spans="5:10" ht="15.75">
      <c r="E502" s="36" t="s">
        <v>2</v>
      </c>
      <c r="F502" s="16">
        <f>SUM(F500*F501)/(2000/60)</f>
        <v>6.354039834295341</v>
      </c>
      <c r="G502" s="4"/>
      <c r="H502" s="9" t="s">
        <v>87</v>
      </c>
      <c r="I502" s="9"/>
      <c r="J502" s="11"/>
    </row>
    <row r="503" spans="5:10" ht="15.75">
      <c r="E503" s="36"/>
      <c r="F503" s="16"/>
      <c r="G503" s="4"/>
      <c r="H503" s="9"/>
      <c r="I503" s="9"/>
      <c r="J503" s="31"/>
    </row>
    <row r="504" spans="3:10" ht="15.75">
      <c r="C504" s="4" t="str">
        <f>" 2.16 "&amp;Input!B21&amp;""</f>
        <v> 2.16 Oats (34 lb)</v>
      </c>
      <c r="E504" s="36"/>
      <c r="F504" s="56">
        <f>F61</f>
        <v>12.668490929360495</v>
      </c>
      <c r="H504" s="7" t="s">
        <v>85</v>
      </c>
      <c r="I504" s="9"/>
      <c r="J504" s="11"/>
    </row>
    <row r="505" spans="5:10" ht="15.75">
      <c r="E505" s="41" t="s">
        <v>0</v>
      </c>
      <c r="F505" s="52">
        <f>F297</f>
        <v>9.375275</v>
      </c>
      <c r="G505" s="4"/>
      <c r="H505" s="10" t="s">
        <v>21</v>
      </c>
      <c r="I505" s="9"/>
      <c r="J505" s="11"/>
    </row>
    <row r="506" spans="5:10" ht="15.75">
      <c r="E506" s="36" t="s">
        <v>2</v>
      </c>
      <c r="F506" s="16">
        <f>SUM(F504*F505)/(2000/34)</f>
        <v>2.0190999670619236</v>
      </c>
      <c r="G506" s="4"/>
      <c r="H506" s="9" t="s">
        <v>87</v>
      </c>
      <c r="I506" s="9"/>
      <c r="J506" s="11"/>
    </row>
    <row r="507" spans="5:10" ht="15.75">
      <c r="E507" s="36"/>
      <c r="F507" s="54"/>
      <c r="G507" s="4"/>
      <c r="H507" s="9"/>
      <c r="I507" s="9"/>
      <c r="J507" s="31"/>
    </row>
    <row r="508" spans="5:10" ht="15.75">
      <c r="E508" s="36"/>
      <c r="F508" s="56">
        <f>F12</f>
        <v>0.0738901</v>
      </c>
      <c r="H508" s="7" t="s">
        <v>86</v>
      </c>
      <c r="I508" s="9"/>
      <c r="J508" s="11"/>
    </row>
    <row r="509" spans="5:10" ht="15.75">
      <c r="E509" s="41" t="s">
        <v>0</v>
      </c>
      <c r="F509" s="53">
        <f>F305</f>
        <v>2746.9308526223263</v>
      </c>
      <c r="G509" s="4"/>
      <c r="H509" s="7" t="s">
        <v>28</v>
      </c>
      <c r="I509" s="9"/>
      <c r="J509" s="11"/>
    </row>
    <row r="510" spans="5:10" ht="15.75">
      <c r="E510" s="36" t="s">
        <v>2</v>
      </c>
      <c r="F510" s="16">
        <f>SUM(F508*F509)/(2000/34)</f>
        <v>3.4505069216869324</v>
      </c>
      <c r="G510" s="4"/>
      <c r="H510" s="9" t="s">
        <v>87</v>
      </c>
      <c r="I510" s="9"/>
      <c r="J510" s="11"/>
    </row>
    <row r="511" spans="5:10" ht="15.75">
      <c r="E511" s="36"/>
      <c r="F511" s="16"/>
      <c r="G511" s="4"/>
      <c r="H511" s="9"/>
      <c r="I511" s="9"/>
      <c r="J511" s="31"/>
    </row>
    <row r="512" spans="3:10" ht="15.75">
      <c r="C512" s="4" t="str">
        <f>" 2.17 "&amp;Input!B22&amp;""</f>
        <v> 2.17 Barley (48 lb)</v>
      </c>
      <c r="E512" s="36"/>
      <c r="F512" s="56">
        <f>F61</f>
        <v>12.668490929360495</v>
      </c>
      <c r="H512" s="7" t="s">
        <v>85</v>
      </c>
      <c r="I512" s="9"/>
      <c r="J512" s="11"/>
    </row>
    <row r="513" spans="5:10" ht="15.75">
      <c r="E513" s="41" t="s">
        <v>0</v>
      </c>
      <c r="F513" s="52">
        <f>F317</f>
        <v>9.3275</v>
      </c>
      <c r="G513" s="4"/>
      <c r="H513" s="10" t="s">
        <v>21</v>
      </c>
      <c r="I513" s="9"/>
      <c r="J513" s="11"/>
    </row>
    <row r="514" spans="5:10" ht="15.75">
      <c r="E514" s="36" t="s">
        <v>2</v>
      </c>
      <c r="F514" s="16">
        <f>SUM(F512*F513)/(2000/48)</f>
        <v>2.8359683794466406</v>
      </c>
      <c r="G514" s="4"/>
      <c r="H514" s="9" t="s">
        <v>87</v>
      </c>
      <c r="I514" s="9"/>
      <c r="J514" s="11"/>
    </row>
    <row r="515" spans="5:10" ht="15.75">
      <c r="E515" s="36"/>
      <c r="F515" s="54"/>
      <c r="G515" s="4"/>
      <c r="H515" s="9"/>
      <c r="I515" s="9"/>
      <c r="J515" s="31"/>
    </row>
    <row r="516" spans="5:10" ht="15.75">
      <c r="E516" s="36"/>
      <c r="F516" s="56">
        <f>F12</f>
        <v>0.0738901</v>
      </c>
      <c r="H516" s="7" t="s">
        <v>86</v>
      </c>
      <c r="I516" s="9"/>
      <c r="J516" s="11"/>
    </row>
    <row r="517" spans="5:10" ht="15.75">
      <c r="E517" s="41" t="s">
        <v>0</v>
      </c>
      <c r="F517" s="53">
        <f>F325</f>
        <v>2732.9329036038675</v>
      </c>
      <c r="G517" s="4"/>
      <c r="H517" s="7" t="s">
        <v>28</v>
      </c>
      <c r="I517" s="9"/>
      <c r="J517" s="11"/>
    </row>
    <row r="518" spans="5:10" ht="15.75">
      <c r="E518" s="36" t="s">
        <v>2</v>
      </c>
      <c r="F518" s="16">
        <f>SUM(F516*F517)/(2000/48)</f>
        <v>4.846480452973923</v>
      </c>
      <c r="G518" s="4"/>
      <c r="H518" s="9" t="s">
        <v>87</v>
      </c>
      <c r="I518" s="9"/>
      <c r="J518" s="11"/>
    </row>
    <row r="519" spans="5:10" ht="15.75">
      <c r="E519" s="36"/>
      <c r="F519" s="16"/>
      <c r="G519" s="4"/>
      <c r="H519" s="9"/>
      <c r="I519" s="9"/>
      <c r="J519" s="31"/>
    </row>
    <row r="520" spans="3:10" ht="15.75">
      <c r="C520" s="4" t="str">
        <f>" 2.18 "&amp;Input!B23&amp;""</f>
        <v> 2.18 Corn (56lb)</v>
      </c>
      <c r="E520" s="36"/>
      <c r="F520" s="56">
        <f>F61</f>
        <v>12.668490929360495</v>
      </c>
      <c r="H520" s="7" t="s">
        <v>85</v>
      </c>
      <c r="I520" s="9"/>
      <c r="J520" s="11"/>
    </row>
    <row r="521" spans="5:10" ht="15.75">
      <c r="E521" s="41" t="s">
        <v>0</v>
      </c>
      <c r="F521" s="52">
        <f>F337</f>
        <v>9.33725</v>
      </c>
      <c r="G521" s="4"/>
      <c r="H521" s="10" t="s">
        <v>21</v>
      </c>
      <c r="I521" s="9"/>
      <c r="J521" s="11"/>
    </row>
    <row r="522" spans="5:10" ht="15.75">
      <c r="E522" s="36" t="s">
        <v>2</v>
      </c>
      <c r="F522" s="16">
        <f>SUM(F520*F521)/(2000/56)</f>
        <v>3.3120882740447954</v>
      </c>
      <c r="G522" s="4"/>
      <c r="H522" s="9" t="s">
        <v>87</v>
      </c>
      <c r="I522" s="9"/>
      <c r="J522" s="11"/>
    </row>
    <row r="523" spans="5:10" ht="15.75">
      <c r="E523" s="36"/>
      <c r="F523" s="54"/>
      <c r="G523" s="4"/>
      <c r="H523" s="9"/>
      <c r="I523" s="9"/>
      <c r="J523" s="31"/>
    </row>
    <row r="524" spans="5:10" ht="15.75">
      <c r="E524" s="36"/>
      <c r="F524" s="56">
        <f>F12</f>
        <v>0.0738901</v>
      </c>
      <c r="H524" s="7" t="s">
        <v>86</v>
      </c>
      <c r="I524" s="9"/>
      <c r="J524" s="11"/>
    </row>
    <row r="525" spans="5:10" ht="15.75">
      <c r="E525" s="41" t="s">
        <v>0</v>
      </c>
      <c r="F525" s="53">
        <f>F345</f>
        <v>2735.789627893349</v>
      </c>
      <c r="G525" s="4"/>
      <c r="H525" s="7" t="s">
        <v>28</v>
      </c>
      <c r="I525" s="9"/>
      <c r="J525" s="11"/>
    </row>
    <row r="526" spans="5:10" ht="15.75">
      <c r="E526" s="36" t="s">
        <v>2</v>
      </c>
      <c r="F526" s="16">
        <f>SUM(F524*F525)/(2000/56)</f>
        <v>5.660137537152066</v>
      </c>
      <c r="G526" s="4"/>
      <c r="H526" s="9" t="s">
        <v>87</v>
      </c>
      <c r="I526" s="9"/>
      <c r="J526" s="11"/>
    </row>
    <row r="527" spans="5:10" ht="15.75">
      <c r="E527" s="36"/>
      <c r="F527" s="16"/>
      <c r="G527" s="4"/>
      <c r="H527" s="9"/>
      <c r="I527" s="9"/>
      <c r="J527" s="31"/>
    </row>
    <row r="528" spans="3:10" ht="15.75">
      <c r="C528" s="4" t="str">
        <f>" 2.19 "&amp;Input!B24&amp;""</f>
        <v> 2.19 Sunflower Seeds </v>
      </c>
      <c r="E528" s="36"/>
      <c r="F528" s="56">
        <f>F61</f>
        <v>12.668490929360495</v>
      </c>
      <c r="H528" s="7" t="s">
        <v>85</v>
      </c>
      <c r="I528" s="9"/>
      <c r="J528" s="11"/>
    </row>
    <row r="529" spans="5:10" ht="15.75">
      <c r="E529" s="41" t="s">
        <v>0</v>
      </c>
      <c r="F529" s="52">
        <f>F357</f>
        <v>14.352</v>
      </c>
      <c r="G529" s="4"/>
      <c r="H529" s="10" t="s">
        <v>21</v>
      </c>
      <c r="I529" s="9"/>
      <c r="J529" s="11"/>
    </row>
    <row r="530" spans="5:10" ht="15.75">
      <c r="E530" s="36" t="s">
        <v>2</v>
      </c>
      <c r="F530" s="54">
        <f>SUM(F528*F529)/(2000)</f>
        <v>0.09090909090909091</v>
      </c>
      <c r="G530" s="4"/>
      <c r="H530" s="9" t="s">
        <v>88</v>
      </c>
      <c r="I530" s="9"/>
      <c r="J530" s="11"/>
    </row>
    <row r="531" spans="5:10" ht="15.75">
      <c r="E531" s="36"/>
      <c r="F531" s="54"/>
      <c r="G531" s="4"/>
      <c r="H531" s="9"/>
      <c r="I531" s="9"/>
      <c r="J531" s="31"/>
    </row>
    <row r="532" spans="5:10" ht="15.75">
      <c r="E532" s="36"/>
      <c r="F532" s="56">
        <f>F12</f>
        <v>0.0738901</v>
      </c>
      <c r="H532" s="7" t="s">
        <v>86</v>
      </c>
      <c r="I532" s="9"/>
      <c r="J532" s="11"/>
    </row>
    <row r="533" spans="5:10" ht="15.75">
      <c r="E533" s="41" t="s">
        <v>0</v>
      </c>
      <c r="F533" s="53">
        <f>F365</f>
        <v>4205.098154116613</v>
      </c>
      <c r="G533" s="4"/>
      <c r="H533" s="7" t="s">
        <v>28</v>
      </c>
      <c r="I533" s="9"/>
      <c r="J533" s="11"/>
    </row>
    <row r="534" spans="5:10" ht="15.75">
      <c r="E534" s="36" t="s">
        <v>2</v>
      </c>
      <c r="F534" s="54">
        <f>SUM(F532*F533)/(2000)</f>
        <v>0.15535756155874597</v>
      </c>
      <c r="G534" s="4"/>
      <c r="H534" s="9" t="s">
        <v>88</v>
      </c>
      <c r="I534" s="9"/>
      <c r="J534" s="11"/>
    </row>
    <row r="535" spans="5:10" ht="15.75">
      <c r="E535" s="36"/>
      <c r="F535" s="16"/>
      <c r="G535" s="4"/>
      <c r="H535" s="9"/>
      <c r="I535" s="9"/>
      <c r="J535" s="31"/>
    </row>
    <row r="536" spans="3:10" ht="15.75">
      <c r="C536" s="4" t="str">
        <f>" 2.20 "&amp;Input!B25&amp;""</f>
        <v> 2.20 Firewood (2100lb/124cft.)</v>
      </c>
      <c r="E536" s="36"/>
      <c r="F536" s="56">
        <f>F61</f>
        <v>12.668490929360495</v>
      </c>
      <c r="H536" s="7" t="s">
        <v>85</v>
      </c>
      <c r="I536" s="9"/>
      <c r="J536" s="11"/>
    </row>
    <row r="537" spans="5:10" ht="15.75">
      <c r="E537" s="41" t="s">
        <v>0</v>
      </c>
      <c r="F537" s="52">
        <f>F377</f>
        <v>5.52</v>
      </c>
      <c r="G537" s="4"/>
      <c r="H537" s="10" t="s">
        <v>21</v>
      </c>
      <c r="I537" s="9"/>
      <c r="J537" s="11"/>
    </row>
    <row r="538" spans="5:10" ht="15.75">
      <c r="E538" s="36" t="s">
        <v>2</v>
      </c>
      <c r="F538" s="54">
        <f>SUM(F536*F537)*(2100/2000)</f>
        <v>73.42657342657341</v>
      </c>
      <c r="G538" s="4"/>
      <c r="H538" s="9" t="s">
        <v>89</v>
      </c>
      <c r="I538" s="9"/>
      <c r="J538" s="11"/>
    </row>
    <row r="539" spans="5:10" ht="15.75">
      <c r="E539" s="36"/>
      <c r="F539" s="54"/>
      <c r="G539" s="4"/>
      <c r="H539" s="9"/>
      <c r="I539" s="9"/>
      <c r="J539" s="31"/>
    </row>
    <row r="540" spans="5:10" ht="15.75">
      <c r="E540" s="36"/>
      <c r="F540" s="56">
        <f>F12</f>
        <v>0.0738901</v>
      </c>
      <c r="H540" s="7" t="s">
        <v>86</v>
      </c>
      <c r="I540" s="9"/>
      <c r="J540" s="11"/>
    </row>
    <row r="541" spans="5:10" ht="15.75">
      <c r="E541" s="41" t="s">
        <v>0</v>
      </c>
      <c r="F541" s="53">
        <f>F385</f>
        <v>1617.345443891005</v>
      </c>
      <c r="G541" s="4"/>
      <c r="H541" s="7" t="s">
        <v>28</v>
      </c>
      <c r="I541" s="9"/>
      <c r="J541" s="11"/>
    </row>
    <row r="542" spans="5:10" ht="15.75">
      <c r="E542" s="36" t="s">
        <v>2</v>
      </c>
      <c r="F542" s="54">
        <f>SUM(F540*F541)*(2100/2000)</f>
        <v>125.4811074128333</v>
      </c>
      <c r="G542" s="4"/>
      <c r="H542" s="9" t="s">
        <v>89</v>
      </c>
      <c r="I542" s="9"/>
      <c r="J542" s="11"/>
    </row>
    <row r="543" spans="5:10" ht="15.75">
      <c r="E543" s="36"/>
      <c r="F543" s="16"/>
      <c r="G543" s="4"/>
      <c r="H543" s="9"/>
      <c r="I543" s="9"/>
      <c r="J543" s="31"/>
    </row>
    <row r="544" ht="15.75">
      <c r="B544" s="4" t="s">
        <v>9</v>
      </c>
    </row>
    <row r="546" ht="15.75">
      <c r="C546" s="4" t="s">
        <v>5</v>
      </c>
    </row>
    <row r="547" spans="3:9" ht="15">
      <c r="C547" s="2" t="s">
        <v>10</v>
      </c>
      <c r="I547" s="2" t="s">
        <v>13</v>
      </c>
    </row>
    <row r="548" spans="3:9" ht="15">
      <c r="C548" s="2" t="s">
        <v>11</v>
      </c>
      <c r="I548" s="2" t="s">
        <v>11</v>
      </c>
    </row>
    <row r="549" spans="3:9" ht="15">
      <c r="C549" s="2" t="s">
        <v>12</v>
      </c>
      <c r="I549" s="2" t="s">
        <v>14</v>
      </c>
    </row>
  </sheetData>
  <sheetProtection password="C786" sheet="1"/>
  <mergeCells count="3">
    <mergeCell ref="B7:I7"/>
    <mergeCell ref="B2:I2"/>
    <mergeCell ref="A4:J5"/>
  </mergeCells>
  <printOptions/>
  <pageMargins left="0.75" right="0.75" top="1" bottom="1" header="0.5" footer="0.5"/>
  <pageSetup firstPageNumber="6" useFirstPageNumber="1" fitToHeight="6" fitToWidth="1" horizontalDpi="600" verticalDpi="600" orientation="portrait" scale="46" r:id="rId1"/>
  <headerFooter alignWithMargins="0">
    <oddHeader>&amp;LGuidelines: Wheat Straw  Biomass Production Costs&amp;R&amp;P</oddHeader>
    <oddFooter>&amp;RMAFRI, &amp;"Arial,Italic"GO Team Branch</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 for biomass heating fuels</dc:title>
  <dc:subject/>
  <dc:creator>Roy Arnott</dc:creator>
  <cp:keywords/>
  <dc:description/>
  <cp:lastModifiedBy>Roy Arnott</cp:lastModifiedBy>
  <cp:lastPrinted>2012-11-22T19:52:02Z</cp:lastPrinted>
  <dcterms:created xsi:type="dcterms:W3CDTF">1999-05-11T14:54:42Z</dcterms:created>
  <dcterms:modified xsi:type="dcterms:W3CDTF">2013-05-28T16:01:12Z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xd_Signatu">
    <vt:lpwstr/>
  </property>
  <property fmtid="{D5CDD505-2E9C-101B-9397-08002B2CF9AE}" pid="4" name="PublishingExpirationDa">
    <vt:lpwstr/>
  </property>
  <property fmtid="{D5CDD505-2E9C-101B-9397-08002B2CF9AE}" pid="5" name="TemplateU">
    <vt:lpwstr/>
  </property>
  <property fmtid="{D5CDD505-2E9C-101B-9397-08002B2CF9AE}" pid="6" name="xd_Prog">
    <vt:lpwstr/>
  </property>
  <property fmtid="{D5CDD505-2E9C-101B-9397-08002B2CF9AE}" pid="7" name="PublishingStartDa">
    <vt:lpwstr/>
  </property>
  <property fmtid="{D5CDD505-2E9C-101B-9397-08002B2CF9AE}" pid="8" name="ContentType">
    <vt:lpwstr>0x010100ACAADE3355E29C4E95B09CD45679A285</vt:lpwstr>
  </property>
  <property fmtid="{D5CDD505-2E9C-101B-9397-08002B2CF9AE}" pid="9" name="_SourceU">
    <vt:lpwstr/>
  </property>
  <property fmtid="{D5CDD505-2E9C-101B-9397-08002B2CF9AE}" pid="10" name="_SharedFileInd">
    <vt:lpwstr/>
  </property>
</Properties>
</file>